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D17\Desktop\"/>
    </mc:Choice>
  </mc:AlternateContent>
  <xr:revisionPtr revIDLastSave="0" documentId="13_ncr:1_{C0A13E7B-74B2-408D-878F-77C2FFB5AEB0}" xr6:coauthVersionLast="47" xr6:coauthVersionMax="47" xr10:uidLastSave="{00000000-0000-0000-0000-000000000000}"/>
  <bookViews>
    <workbookView xWindow="-120" yWindow="-120" windowWidth="29040" windowHeight="15720" tabRatio="895" firstSheet="12" activeTab="12"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説明" sheetId="134" state="veryHidden" r:id="rId8"/>
    <sheet name="建築工事届" sheetId="140" state="veryHidden" r:id="rId9"/>
    <sheet name="建築計画概要書_第三面" sheetId="137" state="veryHidden" r:id="rId10"/>
    <sheet name="委任状" sheetId="132" state="veryHidden" r:id="rId11"/>
    <sheet name="追加説明書_確認申請" sheetId="141" state="veryHidden" r:id="rId12"/>
    <sheet name="追加説明書_中間検査" sheetId="143" r:id="rId13"/>
    <sheet name="追加説明書_完了検査" sheetId="144" state="veryHidden" r:id="rId14"/>
    <sheet name="追加様式" sheetId="142" r:id="rId15"/>
    <sheet name="監理者選任_大阪府下のみ" sheetId="145" state="veryHidden" r:id="rId16"/>
    <sheet name="軽微な変更" sheetId="147" state="veryHidden" r:id="rId17"/>
    <sheet name="誤記訂正届" sheetId="148" state="veryHidden" r:id="rId18"/>
    <sheet name="建築主等変更" sheetId="153" state="veryHidden" r:id="rId19"/>
    <sheet name="別紙" sheetId="150" state="veryHidden" r:id="rId20"/>
    <sheet name="選定届" sheetId="152" state="veryHidden" r:id="rId21"/>
    <sheet name="確認取り下げ届_確認済証交付前" sheetId="151" state="veryHidden" r:id="rId22"/>
    <sheet name="工事取りやめ届_確認済証交付後" sheetId="146" state="veryHidden" r:id="rId23"/>
  </sheets>
  <definedNames>
    <definedName name="__IntlFixup" hidden="1">TRUE</definedName>
    <definedName name="__IntlFixupTable" localSheetId="8" hidden="1">#REF!</definedName>
    <definedName name="__IntlFixupTable" localSheetId="18" hidden="1">#REF!</definedName>
    <definedName name="__IntlFixupTable" hidden="1">#REF!</definedName>
    <definedName name="_１級">リスト!$A$3</definedName>
    <definedName name="_xlnm._FilterDatabase" localSheetId="15" hidden="1">監理者選任_大阪府下のみ!#REF!</definedName>
    <definedName name="_output_sheetname">DATA!$D$9</definedName>
    <definedName name="_output_title">DATA!$D$7</definedName>
    <definedName name="AAA_01" localSheetId="8"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_xlnm.Criteria" localSheetId="15">監理者選任_大阪府下のみ!$AM$5:$AM$18</definedName>
    <definedName name="cst__output_sheetname">DATA!$F$9</definedName>
    <definedName name="cst__output_title">DATA!$F$7</definedName>
    <definedName name="cst_ISSUE_DATE_select">DATA!$F$32</definedName>
    <definedName name="cst_ISSUE_KOUFU_NAME_select">DATA!$F$67</definedName>
    <definedName name="cst_ISSUE_NO_select">DATA!$F$31</definedName>
    <definedName name="cst_koujikikan_month">DATA!$F$1151</definedName>
    <definedName name="cst_koujikikan_year">DATA!$F$1150</definedName>
    <definedName name="cst_shinsei_ACCEPT_DATE">DATA!$F$38</definedName>
    <definedName name="cst_shinsei_build_p6_01_PAGE6_KOUZOU_KEISAN_KIND__002">DATA!$F$55</definedName>
    <definedName name="cst_shinsei_build_p6_01_PAGE6_KOUZOU_KEISAN_KIND__004">DATA!$F$54</definedName>
    <definedName name="cst_shinsei_build_p6_01_PAGE6_KOUZOU_KEISAN_KIND__005">DATA!$F$53</definedName>
    <definedName name="cst_shinsei_build_YOUTO">DATA!$F$1333</definedName>
    <definedName name="cst_shinsei_HIKIUKE_DATE">DATA!$F$42</definedName>
    <definedName name="cst_shinsei_ISSUE_DATE">DATA!$F$48</definedName>
    <definedName name="cst_shinsei_ISSUE_KOUFU_NAME">DATA!$F$50</definedName>
    <definedName name="cst_shinsei_ISSUE_NO">DATA!$F$44</definedName>
    <definedName name="cst_shinsei_ISSUE_NO_disp">DATA!$F$45</definedName>
    <definedName name="cst_shinsei_KAKU_SUMI_NO">DATA!$F$46</definedName>
    <definedName name="cst_shinsei_KAKUNIN_ISSUE_NO">DATA!$F$65</definedName>
    <definedName name="cst_shinsei_KAKUNIN_KOUFU_DATE">DATA!$F$68</definedName>
    <definedName name="cst_shinsei_PROVO_DATE">DATA!$F$34</definedName>
    <definedName name="cst_shinsei_PROVO_NO">DATA!$F$35</definedName>
    <definedName name="cst_shinsei_UKETUKE_NO">DATA!$F$40</definedName>
    <definedName name="cst_shinsei_UNIT_COUNT">DATA!$F$972</definedName>
    <definedName name="cst_wsflat35_dairi1_POST">DATA!$F$197</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DATA!$F$926</definedName>
    <definedName name="cst_wskakunin__kouji">DATA!$F$976</definedName>
    <definedName name="cst_wskakunin__kuiki">DATA!$F$917</definedName>
    <definedName name="cst_wskakunin__kuiki_box">DATA!$F$918</definedName>
    <definedName name="cst_wskakunin__tosi_kuiki">DATA!$F$920</definedName>
    <definedName name="cst_wskakunin_20kouzou101_KOUZOUSEKKEI_KOUFU_NO">DATA!$F$492</definedName>
    <definedName name="cst_wskakunin_20kouzou101_NAME">DATA!$F$491</definedName>
    <definedName name="cst_wskakunin_20kouzou102_KOUZOUSEKKEI_KOUFU_NO">DATA!$F$494</definedName>
    <definedName name="cst_wskakunin_20kouzou102_NAME">DATA!$F$493</definedName>
    <definedName name="cst_wskakunin_20kouzou103_KOUZOUSEKKEI_KOUFU_NO">DATA!$F$496</definedName>
    <definedName name="cst_wskakunin_20kouzou103_NAME">DATA!$F$495</definedName>
    <definedName name="cst_wskakunin_20kouzou104_KOUZOUSEKKEI_KOUFU_NO">DATA!$F$498</definedName>
    <definedName name="cst_wskakunin_20kouzou104_NAME">DATA!$F$497</definedName>
    <definedName name="cst_wskakunin_20kouzou105_KOUZOUSEKKEI_KOUFU_NO">DATA!$F$500</definedName>
    <definedName name="cst_wskakunin_20kouzou105_NAME">DATA!$F$499</definedName>
    <definedName name="cst_wskakunin_20kouzou301_KOUZOUSEKKEI_KOUFU_NO">DATA!$F$504</definedName>
    <definedName name="cst_wskakunin_20kouzou301_NAME">DATA!$F$503</definedName>
    <definedName name="cst_wskakunin_20kouzou302_KOUZOUSEKKEI_KOUFU_NO">DATA!$F$506</definedName>
    <definedName name="cst_wskakunin_20kouzou302_NAME">DATA!$F$505</definedName>
    <definedName name="cst_wskakunin_20kouzou303_KOUZOUSEKKEI_KOUFU_NO">DATA!$F$508</definedName>
    <definedName name="cst_wskakunin_20kouzou303_NAME">DATA!$F$507</definedName>
    <definedName name="cst_wskakunin_20kouzou304_KOUZOUSEKKEI_KOUFU_NO">DATA!$F$510</definedName>
    <definedName name="cst_wskakunin_20kouzou304_NAME">DATA!$F$509</definedName>
    <definedName name="cst_wskakunin_20kouzou305_KOUZOUSEKKEI_KOUFU_NO">DATA!$F$512</definedName>
    <definedName name="cst_wskakunin_20kouzou305_NAME">DATA!$F$511</definedName>
    <definedName name="cst_wskakunin_20setubi101_NAME">DATA!$F$515</definedName>
    <definedName name="cst_wskakunin_20setubi101_SETUBISEKKEI_KOUFU_NO">DATA!$F$516</definedName>
    <definedName name="cst_wskakunin_20setubi102_NAME">DATA!$F$517</definedName>
    <definedName name="cst_wskakunin_20setubi102_SETUBISEKKEI_KOUFU_NO">DATA!$F$518</definedName>
    <definedName name="cst_wskakunin_20setubi103_NAME">DATA!$F$519</definedName>
    <definedName name="cst_wskakunin_20setubi103_SETUBISEKKEI_KOUFU_NO">DATA!$F$520</definedName>
    <definedName name="cst_wskakunin_20setubi104_NAME">DATA!$F$521</definedName>
    <definedName name="cst_wskakunin_20setubi104_SETUBISEKKEI_KOUFU_NO">DATA!$F$522</definedName>
    <definedName name="cst_wskakunin_20setubi105_NAME">DATA!$F$523</definedName>
    <definedName name="cst_wskakunin_20setubi105_SETUBISEKKEI_KOUFU_NO">DATA!$F$524</definedName>
    <definedName name="cst_wskakunin_20setubi301_NAME">DATA!$F$527</definedName>
    <definedName name="cst_wskakunin_20setubi301_SETUBISEKKEI_KOUFU_NO">DATA!$F$528</definedName>
    <definedName name="cst_wskakunin_20setubi302_NAME">DATA!$F$529</definedName>
    <definedName name="cst_wskakunin_20setubi302_SETUBISEKKEI_KOUFU_NO">DATA!$F$530</definedName>
    <definedName name="cst_wskakunin_20setubi303_NAME">DATA!$F$531</definedName>
    <definedName name="cst_wskakunin_20setubi303_SETUBISEKKEI_KOUFU_NO">DATA!$F$532</definedName>
    <definedName name="cst_wskakunin_20setubi304_NAME">DATA!$F$533</definedName>
    <definedName name="cst_wskakunin_20setubi304_SETUBISEKKEI_KOUFU_NO">DATA!$F$534</definedName>
    <definedName name="cst_wskakunin_20setubi305_NAME">DATA!$F$535</definedName>
    <definedName name="cst_wskakunin_20setubi305_SETUBISEKKEI_KOUFU_NO">DATA!$F$536</definedName>
    <definedName name="cst_wskakunin_APPLICANT_NAME">DATA!$F$73</definedName>
    <definedName name="cst_wskakunin_BOUKA_22JYO">DATA!$F$930</definedName>
    <definedName name="cst_wskakunin_BOUKA_BOUKA">DATA!$F$927</definedName>
    <definedName name="cst_wskakunin_BOUKA_JYUN_BOUKA">DATA!$F$928</definedName>
    <definedName name="cst_wskakunin_BOUKA_NASI">DATA!$F$929</definedName>
    <definedName name="cst_wskakunin_BOUKA_SETUBI_FLAG">DATA!$F$1175</definedName>
    <definedName name="cst_wskakunin_BOUKA_SETUBI_FLAG_box_off">DATA!$F$1177</definedName>
    <definedName name="cst_wskakunin_BOUKA_SETUBI_FLAG_box_on">DATA!$F$1176</definedName>
    <definedName name="cst_wskakunin_BUILD__address">DATA!$F$906</definedName>
    <definedName name="cst_wskakunin_BUILD_ADDRESS">DATA!$F$908</definedName>
    <definedName name="cst_wskakunin_BUILD_JYUKYO__address">DATA!$F$911</definedName>
    <definedName name="cst_wskakunin_BUILD_JYUKYO_ADDRESS">DATA!$F$913</definedName>
    <definedName name="cst_wskakunin_BUILD_JYUKYO_KEN__ken">DATA!$F$912</definedName>
    <definedName name="cst_wskakunin_BUILD_KEN__ken">DATA!$F$907</definedName>
    <definedName name="cst_wskakunin_BUILD_NAME">DATA!$F$842</definedName>
    <definedName name="cst_wskakunin_BUILD_NAME_KANA">DATA!$F$843</definedName>
    <definedName name="cst_wskakunin_BUILD_SHINSEI_COUNT">DATA!$F$1090</definedName>
    <definedName name="cst_wskakunin_BUILD_SONOTA_COUNT">DATA!$F$1091</definedName>
    <definedName name="cst_wskakunin_dairi1__address">DATA!$F$206</definedName>
    <definedName name="cst_wskakunin_dairi1__sikaku">DATA!$F$193</definedName>
    <definedName name="cst_wskakunin_dairi1__space">DATA!$F$210</definedName>
    <definedName name="cst_wskakunin_dairi1__space2">DATA!$F$211</definedName>
    <definedName name="cst_wskakunin_dairi1_FAX">DATA!$F$209</definedName>
    <definedName name="cst_wskakunin_dairi1_JIMU__sikaku">DATA!$F$200</definedName>
    <definedName name="cst_wskakunin_dairi1_JIMU_NAME">DATA!$F$204</definedName>
    <definedName name="cst_wskakunin_dairi1_JIMU_NO">DATA!$F$203</definedName>
    <definedName name="cst_wskakunin_dairi1_JIMU_SIKAKU">DATA!$F$201</definedName>
    <definedName name="cst_wskakunin_dairi1_JIMU_TOUROKU_KIKAN">DATA!$F$202</definedName>
    <definedName name="cst_wskakunin_dairi1_KENTIKUSI_NO">DATA!$F$196</definedName>
    <definedName name="cst_wskakunin_dairi1_NAME">DATA!$F$198</definedName>
    <definedName name="cst_wskakunin_dairi1_NAME_KANA">DATA!$F$199</definedName>
    <definedName name="cst_wskakunin_dairi1_SIKAKU">DATA!$F$194</definedName>
    <definedName name="cst_wskakunin_dairi1_TEL">DATA!$F$207</definedName>
    <definedName name="cst_wskakunin_dairi1_TEL_dsp">DATA!$F$208</definedName>
    <definedName name="cst_wskakunin_dairi1_TOUROKU_KIKAN">DATA!$F$195</definedName>
    <definedName name="cst_wskakunin_dairi1_ZIP">DATA!$F$205</definedName>
    <definedName name="cst_wskakunin_dairi2__address">DATA!$F$226</definedName>
    <definedName name="cst_wskakunin_dairi2__sikaku">DATA!$F$214</definedName>
    <definedName name="cst_wskakunin_dairi2__space">DATA!$F$229</definedName>
    <definedName name="cst_wskakunin_dairi2_FAX">DATA!$F$228</definedName>
    <definedName name="cst_wskakunin_dairi2_JIMU__sikaku">DATA!$F$220</definedName>
    <definedName name="cst_wskakunin_dairi2_JIMU_NAME">DATA!$F$224</definedName>
    <definedName name="cst_wskakunin_dairi2_JIMU_NO">DATA!$F$223</definedName>
    <definedName name="cst_wskakunin_dairi2_JIMU_SIKAKU">DATA!$F$221</definedName>
    <definedName name="cst_wskakunin_dairi2_JIMU_TOUROKU_KIKAN">DATA!$F$222</definedName>
    <definedName name="cst_wskakunin_dairi2_KENTIKUSI_NO">DATA!$F$217</definedName>
    <definedName name="cst_wskakunin_dairi2_NAME">DATA!$F$218</definedName>
    <definedName name="cst_wskakunin_dairi2_NAME_KANA">DATA!$F$219</definedName>
    <definedName name="cst_wskakunin_dairi2_SIKAKU">DATA!$F$215</definedName>
    <definedName name="cst_wskakunin_dairi2_TEL">DATA!$F$227</definedName>
    <definedName name="cst_wskakunin_dairi2_TOUROKU_KIKAN">DATA!$F$216</definedName>
    <definedName name="cst_wskakunin_dairi2_ZIP">DATA!$F$225</definedName>
    <definedName name="cst_wskakunin_dairi3__address">DATA!$F$244</definedName>
    <definedName name="cst_wskakunin_dairi3__sikaku">DATA!$F$232</definedName>
    <definedName name="cst_wskakunin_dairi3__space">DATA!$F$247</definedName>
    <definedName name="cst_wskakunin_dairi3_FAX">DATA!$F$246</definedName>
    <definedName name="cst_wskakunin_dairi3_JIMU__sikaku">DATA!$F$238</definedName>
    <definedName name="cst_wskakunin_dairi3_JIMU_NAME">DATA!$F$242</definedName>
    <definedName name="cst_wskakunin_dairi3_JIMU_NO">DATA!$F$241</definedName>
    <definedName name="cst_wskakunin_dairi3_JIMU_SIKAKU">DATA!$F$239</definedName>
    <definedName name="cst_wskakunin_dairi3_JIMU_TOUROKU_KIKAN">DATA!$F$240</definedName>
    <definedName name="cst_wskakunin_dairi3_KENTIKUSI_NO">DATA!$F$235</definedName>
    <definedName name="cst_wskakunin_dairi3_NAME">DATA!$F$236</definedName>
    <definedName name="cst_wskakunin_dairi3_NAME_KANA">DATA!$F$237</definedName>
    <definedName name="cst_wskakunin_dairi3_SIKAKU">DATA!$F$233</definedName>
    <definedName name="cst_wskakunin_dairi3_TEL">DATA!$F$245</definedName>
    <definedName name="cst_wskakunin_dairi3_TOUROKU_KIKAN">DATA!$F$234</definedName>
    <definedName name="cst_wskakunin_dairi3_ZIP">DATA!$F$243</definedName>
    <definedName name="cst_wskakunin_dairi4__address">DATA!$F$262</definedName>
    <definedName name="cst_wskakunin_dairi4__sikaku">DATA!$F$250</definedName>
    <definedName name="cst_wskakunin_dairi4__space">DATA!$F$265</definedName>
    <definedName name="cst_wskakunin_dairi4_FAX">DATA!$F$264</definedName>
    <definedName name="cst_wskakunin_dairi4_JIMU__sikaku">DATA!$F$256</definedName>
    <definedName name="cst_wskakunin_dairi4_JIMU_NAME">DATA!$F$260</definedName>
    <definedName name="cst_wskakunin_dairi4_JIMU_NO">DATA!$F$259</definedName>
    <definedName name="cst_wskakunin_dairi4_JIMU_SIKAKU">DATA!$F$257</definedName>
    <definedName name="cst_wskakunin_dairi4_JIMU_TOUROKU_KIKAN">DATA!$F$258</definedName>
    <definedName name="cst_wskakunin_dairi4_KENTIKUSI_NO">DATA!$F$253</definedName>
    <definedName name="cst_wskakunin_dairi4_NAME">DATA!$F$254</definedName>
    <definedName name="cst_wskakunin_dairi4_NAME_KANA">DATA!$F$255</definedName>
    <definedName name="cst_wskakunin_dairi4_SIKAKU">DATA!$F$251</definedName>
    <definedName name="cst_wskakunin_dairi4_TEL">DATA!$F$263</definedName>
    <definedName name="cst_wskakunin_dairi4_TOUROKU_KIKAN">DATA!$F$252</definedName>
    <definedName name="cst_wskakunin_dairi4_ZIP">DATA!$F$261</definedName>
    <definedName name="cst_wskakunin_dairi5__address">DATA!$F$280</definedName>
    <definedName name="cst_wskakunin_dairi5__sikaku">DATA!$F$268</definedName>
    <definedName name="cst_wskakunin_dairi5__space">DATA!$F$283</definedName>
    <definedName name="cst_wskakunin_dairi5_FAX">DATA!$F$282</definedName>
    <definedName name="cst_wskakunin_dairi5_JIMU__sikaku">DATA!$F$274</definedName>
    <definedName name="cst_wskakunin_dairi5_JIMU_NAME">DATA!$F$278</definedName>
    <definedName name="cst_wskakunin_dairi5_JIMU_NO">DATA!$F$277</definedName>
    <definedName name="cst_wskakunin_dairi5_JIMU_SIKAKU">DATA!$F$275</definedName>
    <definedName name="cst_wskakunin_dairi5_JIMU_TOUROKU_KIKAN">DATA!$F$276</definedName>
    <definedName name="cst_wskakunin_dairi5_KENTIKUSI_NO">DATA!$F$271</definedName>
    <definedName name="cst_wskakunin_dairi5_NAME">DATA!$F$272</definedName>
    <definedName name="cst_wskakunin_dairi5_NAME_KANA">DATA!$F$273</definedName>
    <definedName name="cst_wskakunin_dairi5_SIKAKU">DATA!$F$269</definedName>
    <definedName name="cst_wskakunin_dairi5_TEL">DATA!$F$281</definedName>
    <definedName name="cst_wskakunin_dairi5_TOUROKU_KIKAN">DATA!$F$270</definedName>
    <definedName name="cst_wskakunin_dairi5_ZIP">DATA!$F$279</definedName>
    <definedName name="cst_wskakunin_DOURO_FUKUIN">DATA!$F$935</definedName>
    <definedName name="cst_wskakunin_DOURO_NAGASA">DATA!$F$936</definedName>
    <definedName name="cst_wskakunin_ecotekihan01_FUYOU_CAUSE">DATA!$F$872</definedName>
    <definedName name="cst_wskakunin_ecotekihan01_miteisyutu_kikan_info">DATA!$F$871</definedName>
    <definedName name="cst_wskakunin_ecotekihan01_teisyutu_kikan_info">DATA!$F$870</definedName>
    <definedName name="cst_wskakunin_ecotekihan01_TEKIHAN_KIKAN_ADDRESS">DATA!$F$868</definedName>
    <definedName name="cst_wskakunin_ecotekihan01_TEKIHAN_KIKAN_KEN__ken">DATA!$F$867</definedName>
    <definedName name="cst_wskakunin_ecotekihan01_TEKIHAN_KIKAN_NAME">DATA!$F$866</definedName>
    <definedName name="cst_wskakunin_ecotekihan01_TEKIHAN_STATE_miteisyutu">DATA!$F$864</definedName>
    <definedName name="cst_wskakunin_ecotekihan01_TEKIHAN_STATE_teisyutu">DATA!$F$863</definedName>
    <definedName name="cst_wskakunin_ecotekihan01_TEKIHAN_STATE_teisyutufuyou">DATA!$F$865</definedName>
    <definedName name="cst_wskakunin_gaiyou1_EV_KIND">DATA!$F$1007</definedName>
    <definedName name="cst_wskakunin_gaiyou1_KOUJI_KAITIKU">DATA!$F$994</definedName>
    <definedName name="cst_wskakunin_gaiyou1_KOUJI_SINTIKU">DATA!$F$992</definedName>
    <definedName name="cst_wskakunin_gaiyou1_KOUJI_SONOTA">DATA!$F$995</definedName>
    <definedName name="cst_wskakunin_gaiyou1_KOUJI_SONOTA_TEXT">DATA!$F$996</definedName>
    <definedName name="cst_wskakunin_gaiyou1_KOUJI_ZOUTIKU">DATA!$F$993</definedName>
    <definedName name="cst_wskakunin_gaiyou1_KOUZOU">DATA!$F$991</definedName>
    <definedName name="cst_wskakunin_gaiyou1_NINSYOU_NO">DATA!$F$1013</definedName>
    <definedName name="cst_wskakunin_gaiyou1_NO">DATA!$F$1006</definedName>
    <definedName name="cst_wskakunin_gaiyou1_SEKISAI">DATA!$F$1009</definedName>
    <definedName name="cst_wskakunin_gaiyou1_SONOTA">DATA!$F$1012</definedName>
    <definedName name="cst_wskakunin_gaiyou1_SONOTA_and_NINSYOU_NO">DATA!$F$1014</definedName>
    <definedName name="cst_wskakunin_gaiyou1_SPEED">DATA!$F$1011</definedName>
    <definedName name="cst_wskakunin_gaiyou1_TAKASA">DATA!$F$990</definedName>
    <definedName name="cst_wskakunin_gaiyou1_TEIIN">DATA!$F$1010</definedName>
    <definedName name="cst_wskakunin_gaiyou1_TIKUZOU_MENSEKI_IGAI">DATA!$F$999</definedName>
    <definedName name="cst_wskakunin_gaiyou1_TIKUZOU_MENSEKI_SHINSEI">DATA!$F$998</definedName>
    <definedName name="cst_wskakunin_gaiyou1_TIKUZOU_MENSEKI_TOTAL">DATA!$F$1000</definedName>
    <definedName name="cst_wskakunin_gaiyou1_WORK_COUNT_IGAI">DATA!$F$1002</definedName>
    <definedName name="cst_wskakunin_gaiyou1_WORK_COUNT_SHINSEI">DATA!$F$1001</definedName>
    <definedName name="cst_wskakunin_gaiyou1_WORK_COUNT_TOTAL">DATA!$F$1003</definedName>
    <definedName name="cst_wskakunin_gaiyou1_WORK_SYURUI">DATA!$F$989</definedName>
    <definedName name="cst_wskakunin_gaiyou1_WORK_SYURUI_CODE">DATA!$F$988</definedName>
    <definedName name="cst_wskakunin_gaiyou1_YOUTO">DATA!$F$1008</definedName>
    <definedName name="cst_wskakunin_iken1__address">DATA!$F$543</definedName>
    <definedName name="cst_wskakunin_iken1_DOC">DATA!$F$546</definedName>
    <definedName name="cst_wskakunin_iken1_IKEN_NO">DATA!$F$545</definedName>
    <definedName name="cst_wskakunin_iken1_JIMU_NAME">DATA!$F$541</definedName>
    <definedName name="cst_wskakunin_iken1_NAME">DATA!$F$540</definedName>
    <definedName name="cst_wskakunin_iken1_TEL">DATA!$F$544</definedName>
    <definedName name="cst_wskakunin_iken1_ZIP">DATA!$F$542</definedName>
    <definedName name="cst_wskakunin_iken2__address">DATA!$F$552</definedName>
    <definedName name="cst_wskakunin_iken2_DOC">DATA!$F$555</definedName>
    <definedName name="cst_wskakunin_iken2_IKEN_NO">DATA!$F$554</definedName>
    <definedName name="cst_wskakunin_iken2_JIMU_NAME">DATA!$F$550</definedName>
    <definedName name="cst_wskakunin_iken2_NAME">DATA!$F$549</definedName>
    <definedName name="cst_wskakunin_iken2_TEL">DATA!$F$553</definedName>
    <definedName name="cst_wskakunin_iken2_ZIP">DATA!$F$551</definedName>
    <definedName name="cst_wskakunin_iken3__address">DATA!$F$561</definedName>
    <definedName name="cst_wskakunin_iken3_DOC">DATA!$F$564</definedName>
    <definedName name="cst_wskakunin_iken3_IKEN_NO">DATA!$F$563</definedName>
    <definedName name="cst_wskakunin_iken3_JIMU_NAME">DATA!$F$559</definedName>
    <definedName name="cst_wskakunin_iken3_NAME">DATA!$F$558</definedName>
    <definedName name="cst_wskakunin_iken3_TEL">DATA!$F$562</definedName>
    <definedName name="cst_wskakunin_iken3_ZIP">DATA!$F$560</definedName>
    <definedName name="cst_wskakunin_iken4__address">DATA!$F$570</definedName>
    <definedName name="cst_wskakunin_iken4_DOC">DATA!$F$573</definedName>
    <definedName name="cst_wskakunin_iken4_IKEN_NO">DATA!$F$572</definedName>
    <definedName name="cst_wskakunin_iken4_JIMU_NAME">DATA!$F$568</definedName>
    <definedName name="cst_wskakunin_iken4_NAME">DATA!$F$567</definedName>
    <definedName name="cst_wskakunin_iken4_TEL">DATA!$F$571</definedName>
    <definedName name="cst_wskakunin_iken4_ZIP">DATA!$F$569</definedName>
    <definedName name="cst_wskakunin_iken5__address">DATA!$F$578</definedName>
    <definedName name="cst_wskakunin_iken5_DOC">DATA!$F$581</definedName>
    <definedName name="cst_wskakunin_iken5_IKEN_NO">DATA!$F$580</definedName>
    <definedName name="cst_wskakunin_iken5_JIMU_NAME">DATA!$F$576</definedName>
    <definedName name="cst_wskakunin_iken5_NAME">DATA!$F$575</definedName>
    <definedName name="cst_wskakunin_iken5_TEL">DATA!$F$579</definedName>
    <definedName name="cst_wskakunin_iken5_ZIP">DATA!$F$577</definedName>
    <definedName name="cst_wskakunin_KAISU_TIJYOU_SHINSEI">DATA!$F$1098</definedName>
    <definedName name="cst_wskakunin_KAISU_TIJYOU_SONOTA">DATA!$F$1099</definedName>
    <definedName name="cst_wskakunin_KAISU_TIKA_SHINSEI__zero">DATA!$F$1101</definedName>
    <definedName name="cst_wskakunin_KAISU_TIKA_SONOTA">DATA!$F$1102</definedName>
    <definedName name="cst_wskakunin_kanri1__address">DATA!$F$596</definedName>
    <definedName name="cst_wskakunin_kanri1__sikaku">DATA!$F$584</definedName>
    <definedName name="cst_wskakunin_kanri1_DOC">DATA!$F$599</definedName>
    <definedName name="cst_wskakunin_kanri1_JIMU">DATA!$F$589</definedName>
    <definedName name="cst_wskakunin_kanri1_JIMU_NAME">DATA!$F$593</definedName>
    <definedName name="cst_wskakunin_kanri1_JIMU_NO">DATA!$F$592</definedName>
    <definedName name="cst_wskakunin_kanri1_JIMU_SIKAKU">DATA!$F$590</definedName>
    <definedName name="cst_wskakunin_kanri1_JIMU_TOUROKU_KIKAN">DATA!$F$591</definedName>
    <definedName name="cst_wskakunin_kanri1_KENTIKUSI_NO">DATA!$F$587</definedName>
    <definedName name="cst_wskakunin_kanri1_NAME">DATA!$F$588</definedName>
    <definedName name="cst_wskakunin_kanri1_SIKAKU">DATA!$F$585</definedName>
    <definedName name="cst_wskakunin_kanri1_TEL">DATA!$F$597</definedName>
    <definedName name="cst_wskakunin_kanri1_TEL_dsp">DATA!$F$598</definedName>
    <definedName name="cst_wskakunin_kanri1_TOUROKU_KIKAN">DATA!$F$586</definedName>
    <definedName name="cst_wskakunin_kanri1_ZIP">DATA!$F$594</definedName>
    <definedName name="cst_wskakunin_kanri1_ZIP2">DATA!$F$595</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DATA!$F$1298</definedName>
    <definedName name="cst_wskakunin_keibi_henkou01_HENKOU_SYURUI">DATA!$F$1297</definedName>
    <definedName name="cst_wskakunin_KENPEI_RITU">DATA!$F$1020</definedName>
    <definedName name="cst_wskakunin_KENPEI_RITU_A">DATA!$F$959</definedName>
    <definedName name="cst_wskakunin_KENPEI_RITU_B">DATA!$F$960</definedName>
    <definedName name="cst_wskakunin_KENPEI_RITU_C">DATA!$F$961</definedName>
    <definedName name="cst_wskakunin_KENPEI_RITU_D">DATA!$F$962</definedName>
    <definedName name="cst_wskakunin_KENSA_YUKA_MENSEKI_select">DATA!$F$1206</definedName>
    <definedName name="cst_wskakunin_KENTIKU_MENSEKI_IGAI">DATA!$F$1018</definedName>
    <definedName name="cst_wskakunin_KENTIKU_MENSEKI_SHINSEI">DATA!$F$1017</definedName>
    <definedName name="cst_wskakunin_KENTIKU_MENSEKI_TOTAL">DATA!$F$1019</definedName>
    <definedName name="cst_wskakunin_KENTIKU_NINSYO_NO">DATA!$F$1194</definedName>
    <definedName name="cst_wskakunin_KIKAN_NAME">DATA!$F$56</definedName>
    <definedName name="cst_wskakunin_KOUJI_DAI_MOYOUGAE_box">DATA!$F$983</definedName>
    <definedName name="cst_wskakunin_KOUJI_DAI_SYUUZEN_box">DATA!$F$982</definedName>
    <definedName name="cst_wskakunin_KOUJI_ITEN_box">DATA!$F$980</definedName>
    <definedName name="cst_wskakunin_KOUJI_KAITIKU_box">DATA!$F$979</definedName>
    <definedName name="cst_wskakunin_KOUJI_KANRYOU_DATE_select">DATA!$F$1301</definedName>
    <definedName name="cst_wskakunin_KOUJI_KANRYOU_YOTEI_DATE">DATA!$F$1148</definedName>
    <definedName name="cst_wskakunin_KOUJI_KANRYOU_YOTEI_DATE_select">DATA!$F$1199</definedName>
    <definedName name="cst_wskakunin_KOUJI_SETUBI_box">DATA!$F$984</definedName>
    <definedName name="cst_wskakunin_KOUJI_SINTIKU_box">DATA!$F$977</definedName>
    <definedName name="cst_wskakunin_KOUJI_TYAKUSYU_DATE_select">DATA!$F$1196</definedName>
    <definedName name="cst_wskakunin_KOUJI_TYAKUSYU_YOTEI_DATE">DATA!$F$1146</definedName>
    <definedName name="cst_wskakunin_KOUJI_YOUTOHENKOU_box">DATA!$F$981</definedName>
    <definedName name="cst_wskakunin_KOUJI_zoukaitiku_box">DATA!$F$985</definedName>
    <definedName name="cst_wskakunin_KOUJI_ZOUTIKU_box">DATA!$F$978</definedName>
    <definedName name="cst_wskakunin_koutei_ikou01_KOUTEI_DATE">DATA!$F$1269</definedName>
    <definedName name="cst_wskakunin_koutei_ikou01_KOUTEI_DATE_inter1">DATA!$F$1279</definedName>
    <definedName name="cst_wskakunin_koutei_ikou01_KOUTEI_DATE_inter2">DATA!$F$1284</definedName>
    <definedName name="cst_wskakunin_koutei_ikou01_KOUTEI_KAISUU">DATA!$F$1267</definedName>
    <definedName name="cst_wskakunin_koutei_ikou01_KOUTEI_KAISUU_inter1">DATA!$F$1277</definedName>
    <definedName name="cst_wskakunin_koutei_ikou01_KOUTEI_KAISUU_inter2">DATA!$F$1282</definedName>
    <definedName name="cst_wskakunin_koutei_ikou01_KOUTEI_TEXT">DATA!$F$1268</definedName>
    <definedName name="cst_wskakunin_koutei_ikou01_KOUTEI_TEXT_inter1">DATA!$F$1278</definedName>
    <definedName name="cst_wskakunin_koutei_ikou01_KOUTEI_TEXT_inter2">DATA!$F$1283</definedName>
    <definedName name="cst_wskakunin_koutei_ikou02_KOUTEI_DATE">DATA!$F$1274</definedName>
    <definedName name="cst_wskakunin_koutei_ikou02_KOUTEI_DATE_inter1">DATA!$F$1289</definedName>
    <definedName name="cst_wskakunin_koutei_ikou02_KOUTEI_DATE_inter2">DATA!$F$1294</definedName>
    <definedName name="cst_wskakunin_koutei_ikou02_KOUTEI_KAISUU">DATA!$F$1272</definedName>
    <definedName name="cst_wskakunin_koutei_ikou02_KOUTEI_KAISUU_inter1">DATA!$F$1287</definedName>
    <definedName name="cst_wskakunin_koutei_ikou02_KOUTEI_KAISUU_inter2">DATA!$F$1292</definedName>
    <definedName name="cst_wskakunin_koutei_ikou02_KOUTEI_TEXT">DATA!$F$1273</definedName>
    <definedName name="cst_wskakunin_koutei_ikou02_KOUTEI_TEXT_inter1">DATA!$F$1288</definedName>
    <definedName name="cst_wskakunin_koutei_ikou02_KOUTEI_TEXT_inter2">DATA!$F$1293</definedName>
    <definedName name="cst_wskakunin_koutei_izen01_INTER_ISSUE_DATE">DATA!$F$1214</definedName>
    <definedName name="cst_wskakunin_koutei_izen01_INTER_ISSUE_DATE_inter1">DATA!$F$1242</definedName>
    <definedName name="cst_wskakunin_koutei_izen01_INTER_ISSUE_DATE_inter2">DATA!$F$1249</definedName>
    <definedName name="cst_wskakunin_koutei_izen01_INTER_ISSUE_NAME">DATA!$F$1212</definedName>
    <definedName name="cst_wskakunin_koutei_izen01_INTER_ISSUE_NAME_inter1">DATA!$F$1240</definedName>
    <definedName name="cst_wskakunin_koutei_izen01_INTER_ISSUE_NAME_inter2">DATA!$F$1247</definedName>
    <definedName name="cst_wskakunin_koutei_izen01_INTER_ISSUE_NO">DATA!$F$1213</definedName>
    <definedName name="cst_wskakunin_koutei_izen01_INTER_ISSUE_NO_inter1">DATA!$F$1241</definedName>
    <definedName name="cst_wskakunin_koutei_izen01_INTER_ISSUE_NO_inter2">DATA!$F$1248</definedName>
    <definedName name="cst_wskakunin_koutei_izen01_KOUTEI_KAISUU">DATA!$F$1210</definedName>
    <definedName name="cst_wskakunin_koutei_izen01_KOUTEI_KAISUU_inter1">DATA!$F$1238</definedName>
    <definedName name="cst_wskakunin_koutei_izen01_KOUTEI_KAISUU_inter2">DATA!$F$1245</definedName>
    <definedName name="cst_wskakunin_koutei_izen01_KOUTEI_TEXT">DATA!$F$1211</definedName>
    <definedName name="cst_wskakunin_koutei_izen01_KOUTEI_TEXT_inter1">DATA!$F$1239</definedName>
    <definedName name="cst_wskakunin_koutei_izen01_KOUTEI_TEXT_inter2">DATA!$F$1246</definedName>
    <definedName name="cst_wskakunin_koutei_izen02_INTER_ISSUE_DATE">DATA!$F$1221</definedName>
    <definedName name="cst_wskakunin_koutei_izen02_INTER_ISSUE_DATE_inter1">DATA!$F$1256</definedName>
    <definedName name="cst_wskakunin_koutei_izen02_INTER_ISSUE_DATE_inter2">DATA!$F$1263</definedName>
    <definedName name="cst_wskakunin_koutei_izen02_INTER_ISSUE_NAME">DATA!$F$1219</definedName>
    <definedName name="cst_wskakunin_koutei_izen02_INTER_ISSUE_NAME_inter1">DATA!$F$1254</definedName>
    <definedName name="cst_wskakunin_koutei_izen02_INTER_ISSUE_NAME_inter2">DATA!$F$1261</definedName>
    <definedName name="cst_wskakunin_koutei_izen02_INTER_ISSUE_NO">DATA!$F$1220</definedName>
    <definedName name="cst_wskakunin_koutei_izen02_INTER_ISSUE_NO_inter1">DATA!$F$1255</definedName>
    <definedName name="cst_wskakunin_koutei_izen02_INTER_ISSUE_NO_inter2">DATA!$F$1262</definedName>
    <definedName name="cst_wskakunin_koutei_izen02_KOUTEI_KAISUU">DATA!$F$1217</definedName>
    <definedName name="cst_wskakunin_koutei_izen02_KOUTEI_KAISUU_inter1">DATA!$F$1252</definedName>
    <definedName name="cst_wskakunin_koutei_izen02_KOUTEI_KAISUU_inter2">DATA!$F$1259</definedName>
    <definedName name="cst_wskakunin_koutei_izen02_KOUTEI_TEXT">DATA!$F$1218</definedName>
    <definedName name="cst_wskakunin_koutei_izen02_KOUTEI_TEXT_inter1">DATA!$F$1253</definedName>
    <definedName name="cst_wskakunin_koutei_izen02_KOUTEI_TEXT_inter2">DATA!$F$1260</definedName>
    <definedName name="cst_wskakunin_koutei_izen03_INTER_ISSUE_DATE">DATA!$F$1228</definedName>
    <definedName name="cst_wskakunin_koutei_izen03_INTER_ISSUE_NAME">DATA!$F$1226</definedName>
    <definedName name="cst_wskakunin_koutei_izen03_INTER_ISSUE_NO">DATA!$F$1227</definedName>
    <definedName name="cst_wskakunin_koutei_izen03_KOUTEI_KAISUU">DATA!$F$1224</definedName>
    <definedName name="cst_wskakunin_koutei_izen03_KOUTEI_TEXT">DATA!$F$1225</definedName>
    <definedName name="cst_wskakunin_koutei_izen04_INTER_ISSUE_DATE">DATA!$F$1235</definedName>
    <definedName name="cst_wskakunin_koutei_izen04_INTER_ISSUE_NAME">DATA!$F$1233</definedName>
    <definedName name="cst_wskakunin_koutei_izen04_INTER_ISSUE_NO">DATA!$F$1234</definedName>
    <definedName name="cst_wskakunin_koutei_izen04_KOUTEI_KAISUU">DATA!$F$1231</definedName>
    <definedName name="cst_wskakunin_koutei_izen04_KOUTEI_TEXT">DATA!$F$1232</definedName>
    <definedName name="cst_wskakunin_koutei_keika01_INTER_ISSUE_DATE_select">DATA!$F$1315</definedName>
    <definedName name="cst_wskakunin_koutei_keika01_INTER_ISSUE_NAME_select">DATA!$F$1313</definedName>
    <definedName name="cst_wskakunin_koutei_keika01_INTER_ISSUE_NO_select">DATA!$F$1314</definedName>
    <definedName name="cst_wskakunin_koutei_keika01_KOUTEI_KAISUU_select">DATA!$F$1311</definedName>
    <definedName name="cst_wskakunin_koutei_keika01_KOUTEI_TEXT_select">DATA!$F$1312</definedName>
    <definedName name="cst_wskakunin_koutei_keika02_INTER_ISSUE_DATE_select">DATA!$F$1330</definedName>
    <definedName name="cst_wskakunin_koutei_keika02_INTER_ISSUE_NAME_select">DATA!$F$1328</definedName>
    <definedName name="cst_wskakunin_koutei_keika02_INTER_ISSUE_NO_select">DATA!$F$1329</definedName>
    <definedName name="cst_wskakunin_koutei_keika02_KOUTEI_KAISUU_select">DATA!$F$1326</definedName>
    <definedName name="cst_wskakunin_koutei_keika02_KOUTEI_TEXT_select">DATA!$F$1327</definedName>
    <definedName name="cst_wskakunin_koutei01_INTER_ISSUE_DATE">DATA!$F$1308</definedName>
    <definedName name="cst_wskakunin_koutei01_INTER_ISSUE_NAME">DATA!$F$1306</definedName>
    <definedName name="cst_wskakunin_koutei01_INTER_ISSUE_NO">DATA!$F$1307</definedName>
    <definedName name="cst_wskakunin_koutei01_KOUTEI_DATE">DATA!$F$1157</definedName>
    <definedName name="cst_wskakunin_koutei01_KOUTEI_KAISUU">DATA!$F$1156</definedName>
    <definedName name="cst_wskakunin_koutei01_KOUTEI_TEXT">DATA!$F$1158</definedName>
    <definedName name="cst_wskakunin_koutei02_INTER_ISSUE_DATE">DATA!$F$1322</definedName>
    <definedName name="cst_wskakunin_koutei02_INTER_ISSUE_NAME">DATA!$F$1320</definedName>
    <definedName name="cst_wskakunin_koutei02_INTER_ISSUE_NO">DATA!$F$1321</definedName>
    <definedName name="cst_wskakunin_koutei02_KOUTEI_DATE">DATA!$F$1162</definedName>
    <definedName name="cst_wskakunin_koutei02_KOUTEI_KAISUU">DATA!$F$1161</definedName>
    <definedName name="cst_wskakunin_koutei02_KOUTEI_TEXT">DATA!$F$1163</definedName>
    <definedName name="cst_wskakunin_koutei03_KOUTEI_DATE">DATA!$F$1167</definedName>
    <definedName name="cst_wskakunin_koutei03_KOUTEI_KAISUU">DATA!$F$1166</definedName>
    <definedName name="cst_wskakunin_koutei03_KOUTEI_TEXT">DATA!$F$1168</definedName>
    <definedName name="cst_wskakunin_koutei04_KOUTEI_DATE">DATA!$F$1172</definedName>
    <definedName name="cst_wskakunin_koutei04_KOUTEI_KAISUU">DATA!$F$1171</definedName>
    <definedName name="cst_wskakunin_koutei04_KOUTEI_TEXT">DATA!$F$1173</definedName>
    <definedName name="cst_wskakunin_KOUZOU">DATA!$F$1108</definedName>
    <definedName name="cst_wskakunin_KOUZOU_mokuzou">DATA!$F$1106</definedName>
    <definedName name="cst_wskakunin_KOUZOU_zairai">DATA!$F$1107</definedName>
    <definedName name="cst_wskakunin_KOUZOU1">DATA!$F$1104</definedName>
    <definedName name="cst_wskakunin_KOUZOU2">DATA!$F$1105</definedName>
    <definedName name="cst_wskakunin_KUIKI_HISETTEI">DATA!$F$922</definedName>
    <definedName name="cst_wskakunin_KUIKI_JYUN_TOSHI">DATA!$F$923</definedName>
    <definedName name="cst_wskakunin_KUIKI_KUIKIGAI">DATA!$F$924</definedName>
    <definedName name="cst_wskakunin_KUIKI_SIGAIKA">DATA!$F$919</definedName>
    <definedName name="cst_wskakunin_KUIKI_TOSI">DATA!$F$916</definedName>
    <definedName name="cst_wskakunin_KUIKI_TYOSEI">DATA!$F$921</definedName>
    <definedName name="cst_wskakunin_kyoka_HOUREI_all">DATA!$F$1144</definedName>
    <definedName name="cst_wskakunin_kyoka01_BIKOU">DATA!$F$1125</definedName>
    <definedName name="cst_wskakunin_kyoka01_HOUREI">DATA!$F$1121</definedName>
    <definedName name="cst_wskakunin_kyoka01_JOUKOU">DATA!$F$1122</definedName>
    <definedName name="cst_wskakunin_kyoka01_KYOKA_DATE">DATA!$F$1124</definedName>
    <definedName name="cst_wskakunin_kyoka01_KYOKA_NO">DATA!$F$1123</definedName>
    <definedName name="cst_wskakunin_kyoka02_BIKOU">DATA!$F$1133</definedName>
    <definedName name="cst_wskakunin_kyoka02_HOUREI">DATA!$F$1129</definedName>
    <definedName name="cst_wskakunin_kyoka02_JOUKOU">DATA!$F$1130</definedName>
    <definedName name="cst_wskakunin_kyoka02_KYOKA_DATE">DATA!$F$1132</definedName>
    <definedName name="cst_wskakunin_kyoka02_KYOKA_NO">DATA!$F$1131</definedName>
    <definedName name="cst_wskakunin_kyoka03_BIKOU">DATA!$F$1141</definedName>
    <definedName name="cst_wskakunin_kyoka03_HOUREI">DATA!$F$1137</definedName>
    <definedName name="cst_wskakunin_kyoka03_JOUKOU">DATA!$F$1138</definedName>
    <definedName name="cst_wskakunin_kyoka03_KYOKA_DATE">DATA!$F$1140</definedName>
    <definedName name="cst_wskakunin_kyoka03_KYOKA_NO">DATA!$F$1139</definedName>
    <definedName name="cst_wskakunin_LAST_ISSUE_DATE">DATA!$F$61</definedName>
    <definedName name="cst_wskakunin_LAST_ISSUE_NAME">DATA!$F$62</definedName>
    <definedName name="cst_wskakunin_LAST_ISSUE_NO">DATA!$F$60</definedName>
    <definedName name="cst_wskakunin_LIMIT_KENPEI_RITU">DATA!$F$967</definedName>
    <definedName name="cst_wskakunin_LIMIT_YOUSEKI_RITU">DATA!$F$966</definedName>
    <definedName name="cst_wskakunin_NOBE_MENSEKI">DATA!$F$1084</definedName>
    <definedName name="cst_wskakunin_NOBE_MENSEKI_BITIKUSOUKO_IGAI">DATA!$F$1050</definedName>
    <definedName name="cst_wskakunin_NOBE_MENSEKI_BITIKUSOUKO_SHINSEI">DATA!$F$1049</definedName>
    <definedName name="cst_wskakunin_NOBE_MENSEKI_BITIKUSOUKO_TOTAL">DATA!$F$1051</definedName>
    <definedName name="cst_wskakunin_NOBE_MENSEKI_BUILD_IGAI">DATA!$F$1025</definedName>
    <definedName name="cst_wskakunin_NOBE_MENSEKI_BUILD_SHINSEI">DATA!$F$1024</definedName>
    <definedName name="cst_wskakunin_NOBE_MENSEKI_BUILD_TOTAL">DATA!$F$1026</definedName>
    <definedName name="cst_wskakunin_NOBE_MENSEKI_CHOSUISOU_IGAI">DATA!$F$1065</definedName>
    <definedName name="cst_wskakunin_NOBE_MENSEKI_CHOSUISOU_SHINSEI">DATA!$F$1064</definedName>
    <definedName name="cst_wskakunin_NOBE_MENSEKI_CHOSUISOU_TOTAL">DATA!$F$1066</definedName>
    <definedName name="cst_wskakunin_NOBE_MENSEKI_JIKAHATUDEN_IGAI">DATA!$F$1060</definedName>
    <definedName name="cst_wskakunin_NOBE_MENSEKI_JIKAHATUDEN_SHINSEI">DATA!$F$1059</definedName>
    <definedName name="cst_wskakunin_NOBE_MENSEKI_JIKAHATUDEN_TOTAL">DATA!$F$1061</definedName>
    <definedName name="cst_wskakunin_NOBE_MENSEKI_JYUTAKU_IGAI">DATA!$F$1075</definedName>
    <definedName name="cst_wskakunin_NOBE_MENSEKI_JYUTAKU_SHINSEI">DATA!$F$1074</definedName>
    <definedName name="cst_wskakunin_NOBE_MENSEKI_JYUTAKU_TOTAL">DATA!$F$1076</definedName>
    <definedName name="cst_wskakunin_NOBE_MENSEKI_KYOYOU_IGAI">DATA!$F$1040</definedName>
    <definedName name="cst_wskakunin_NOBE_MENSEKI_KYOYOU_SHINSEI">DATA!$F$1039</definedName>
    <definedName name="cst_wskakunin_NOBE_MENSEKI_KYOYOU_TOTAL">DATA!$F$1041</definedName>
    <definedName name="cst_wskakunin_NOBE_MENSEKI_ROUJIN_IGAI">DATA!$F$1080</definedName>
    <definedName name="cst_wskakunin_NOBE_MENSEKI_ROUJIN_SHINSEI">DATA!$F$1079</definedName>
    <definedName name="cst_wskakunin_NOBE_MENSEKI_ROUJIN_TOTAL">DATA!$F$1081</definedName>
    <definedName name="cst_wskakunin_NOBE_MENSEKI_SYAKO_IGAI">DATA!$F$1045</definedName>
    <definedName name="cst_wskakunin_NOBE_MENSEKI_SYAKO_SHINSEI">DATA!$F$1044</definedName>
    <definedName name="cst_wskakunin_NOBE_MENSEKI_SYAKO_TOTAL">DATA!$F$1046</definedName>
    <definedName name="cst_wskakunin_NOBE_MENSEKI_SYOUKOURO_IGAI">DATA!$F$1035</definedName>
    <definedName name="cst_wskakunin_NOBE_MENSEKI_SYOUKOURO_SHINSEI">DATA!$F$1034</definedName>
    <definedName name="cst_wskakunin_NOBE_MENSEKI_SYOUKOURO_TOTAL">DATA!$F$1036</definedName>
    <definedName name="cst_wskakunin_NOBE_MENSEKI_TAKUHAI_IGAI">DATA!$F$1070</definedName>
    <definedName name="cst_wskakunin_NOBE_MENSEKI_TAKUHAI_SHINSEI">DATA!$F$1069</definedName>
    <definedName name="cst_wskakunin_NOBE_MENSEKI_TAKUHAI_TOTAL">DATA!$F$1071</definedName>
    <definedName name="cst_wskakunin_NOBE_MENSEKI_TIKAI_IGAI">DATA!$F$1030</definedName>
    <definedName name="cst_wskakunin_NOBE_MENSEKI_TIKAI_SHINSEI">DATA!$F$1029</definedName>
    <definedName name="cst_wskakunin_NOBE_MENSEKI_TIKAI_TOTAL">DATA!$F$1031</definedName>
    <definedName name="cst_wskakunin_NOBE_MENSEKI_TIKUDENTI_IGAI">DATA!$F$1055</definedName>
    <definedName name="cst_wskakunin_NOBE_MENSEKI_TIKUDENTI_SHINSEI">DATA!$F$1054</definedName>
    <definedName name="cst_wskakunin_NOBE_MENSEKI_TIKUDENTI_TOTAL">DATA!$F$1056</definedName>
    <definedName name="cst_wskakunin_owner1__address">DATA!$F$86</definedName>
    <definedName name="cst_wskakunin_owner1__line1">DATA!$F$93</definedName>
    <definedName name="cst_wskakunin_owner1__line2">DATA!$F$94</definedName>
    <definedName name="cst_wskakunin_owner1__space">DATA!$F$89</definedName>
    <definedName name="cst_wskakunin_owner1__space_KANA">DATA!$F$82</definedName>
    <definedName name="cst_wskakunin_owner1__space_KANA2">DATA!$F$83</definedName>
    <definedName name="cst_wskakunin_owner1__space2">DATA!$F$90</definedName>
    <definedName name="cst_wskakunin_owner1__space3">DATA!$F$91</definedName>
    <definedName name="cst_wskakunin_owner1__space4">DATA!$F$92</definedName>
    <definedName name="cst_wskakunin_owner1_JIMU_NAME">DATA!$F$76</definedName>
    <definedName name="cst_wskakunin_owner1_JIMU_NAME_KANA">DATA!$F$77</definedName>
    <definedName name="cst_wskakunin_owner1_NAME">DATA!$F$80</definedName>
    <definedName name="cst_wskakunin_owner1_NAME_KANA">DATA!$F$81</definedName>
    <definedName name="cst_wskakunin_owner1_POST">DATA!$F$78</definedName>
    <definedName name="cst_wskakunin_owner1_POST_KANA">DATA!$F$79</definedName>
    <definedName name="cst_wskakunin_owner1_TEL">DATA!$F$87</definedName>
    <definedName name="cst_wskakunin_owner1_TEL_dsp">DATA!$F$88</definedName>
    <definedName name="cst_wskakunin_owner1_ZIP">DATA!$F$84</definedName>
    <definedName name="cst_wskakunin_owner1_ZIP2">DATA!$F$85</definedName>
    <definedName name="cst_wskakunin_owner2__address">DATA!$F$104</definedName>
    <definedName name="cst_wskakunin_owner2__space">DATA!$F$106</definedName>
    <definedName name="cst_wskakunin_owner2__space2">DATA!$F$107</definedName>
    <definedName name="cst_wskakunin_owner2__space3">DATA!$F$108</definedName>
    <definedName name="cst_wskakunin_owner2_JIMU_NAME">DATA!$F$97</definedName>
    <definedName name="cst_wskakunin_owner2_JIMU_NAME_KANA">DATA!$F$98</definedName>
    <definedName name="cst_wskakunin_owner2_NAME">DATA!$F$101</definedName>
    <definedName name="cst_wskakunin_owner2_NAME_KANA">DATA!$F$102</definedName>
    <definedName name="cst_wskakunin_owner2_POST">DATA!$F$99</definedName>
    <definedName name="cst_wskakunin_owner2_POST_KANA">DATA!$F$100</definedName>
    <definedName name="cst_wskakunin_owner2_TEL">DATA!$F$105</definedName>
    <definedName name="cst_wskakunin_owner2_ZIP">DATA!$F$103</definedName>
    <definedName name="cst_wskakunin_owner3__address">DATA!$F$118</definedName>
    <definedName name="cst_wskakunin_owner3__space">DATA!$F$120</definedName>
    <definedName name="cst_wskakunin_owner3__space2">DATA!$F$121</definedName>
    <definedName name="cst_wskakunin_owner3_JIMU_NAME">DATA!$F$111</definedName>
    <definedName name="cst_wskakunin_owner3_JIMU_NAME_KANA">DATA!$F$112</definedName>
    <definedName name="cst_wskakunin_owner3_NAME">DATA!$F$115</definedName>
    <definedName name="cst_wskakunin_owner3_NAME_KANA">DATA!$F$116</definedName>
    <definedName name="cst_wskakunin_owner3_POST">DATA!$F$113</definedName>
    <definedName name="cst_wskakunin_owner3_POST_KANA">DATA!$F$114</definedName>
    <definedName name="cst_wskakunin_owner3_TEL">DATA!$F$119</definedName>
    <definedName name="cst_wskakunin_owner3_ZIP">DATA!$F$117</definedName>
    <definedName name="cst_wskakunin_owner4__address">DATA!$F$131</definedName>
    <definedName name="cst_wskakunin_owner4__space">DATA!$F$133</definedName>
    <definedName name="cst_wskakunin_owner4_JIMU_NAME">DATA!$F$124</definedName>
    <definedName name="cst_wskakunin_owner4_JIMU_NAME_KANA">DATA!$F$125</definedName>
    <definedName name="cst_wskakunin_owner4_NAME">DATA!$F$128</definedName>
    <definedName name="cst_wskakunin_owner4_NAME_KANA">DATA!$F$129</definedName>
    <definedName name="cst_wskakunin_owner4_POST">DATA!$F$126</definedName>
    <definedName name="cst_wskakunin_owner4_POST_KANA">DATA!$F$127</definedName>
    <definedName name="cst_wskakunin_owner4_TEL">DATA!$F$132</definedName>
    <definedName name="cst_wskakunin_owner4_ZIP">DATA!$F$130</definedName>
    <definedName name="cst_wskakunin_owner5__address">DATA!$F$143</definedName>
    <definedName name="cst_wskakunin_owner5__space">DATA!$F$145</definedName>
    <definedName name="cst_wskakunin_owner5_JIMU_NAME">DATA!$F$136</definedName>
    <definedName name="cst_wskakunin_owner5_JIMU_NAME_KANA">DATA!$F$137</definedName>
    <definedName name="cst_wskakunin_owner5_NAME">DATA!$F$140</definedName>
    <definedName name="cst_wskakunin_owner5_NAME_KANA">DATA!$F$141</definedName>
    <definedName name="cst_wskakunin_owner5_POST">DATA!$F$138</definedName>
    <definedName name="cst_wskakunin_owner5_POST_KANA">DATA!$F$139</definedName>
    <definedName name="cst_wskakunin_owner5_TEL">DATA!$F$144</definedName>
    <definedName name="cst_wskakunin_owner5_ZIP">DATA!$F$142</definedName>
    <definedName name="cst_wskakunin_owner6__address">DATA!$F$155</definedName>
    <definedName name="cst_wskakunin_owner6__space2">DATA!$F$166</definedName>
    <definedName name="cst_wskakunin_owner6__space3">DATA!$F$157</definedName>
    <definedName name="cst_wskakunin_owner6_JIMU_NAME">DATA!$F$148</definedName>
    <definedName name="cst_wskakunin_owner6_JIMU_NAME_KANA">DATA!$F$149</definedName>
    <definedName name="cst_wskakunin_owner6_NAME">DATA!$F$152</definedName>
    <definedName name="cst_wskakunin_owner6_NAME_KANA">DATA!$F$153</definedName>
    <definedName name="cst_wskakunin_owner6_POST">DATA!$F$150</definedName>
    <definedName name="cst_wskakunin_owner6_POST_KANA">DATA!$F$151</definedName>
    <definedName name="cst_wskakunin_owner6_TEL">DATA!$F$156</definedName>
    <definedName name="cst_wskakunin_owner6_ZIP">DATA!$F$154</definedName>
    <definedName name="cst_wskakunin_owner7__address">DATA!$F$167</definedName>
    <definedName name="cst_wskakunin_owner7_JIMU_NAME">DATA!$F$160</definedName>
    <definedName name="cst_wskakunin_owner7_JIMU_NAME_KANA">DATA!$F$161</definedName>
    <definedName name="cst_wskakunin_owner7_NAME">DATA!$F$164</definedName>
    <definedName name="cst_wskakunin_owner7_NAME_KANA">DATA!$F$165</definedName>
    <definedName name="cst_wskakunin_owner7_POST">DATA!$F$162</definedName>
    <definedName name="cst_wskakunin_owner7_POST_KANA">DATA!$F$163</definedName>
    <definedName name="cst_wskakunin_owner7_TEL">DATA!$F$168</definedName>
    <definedName name="cst_wskakunin_owner7_ZIP">DATA!$F$166</definedName>
    <definedName name="cst_wskakunin_owner8__address">DATA!$F$178</definedName>
    <definedName name="cst_wskakunin_owner8_JIMU_NAME">DATA!$F$171</definedName>
    <definedName name="cst_wskakunin_owner8_JIMU_NAME_KANA">DATA!$F$172</definedName>
    <definedName name="cst_wskakunin_owner8_NAME">DATA!$F$175</definedName>
    <definedName name="cst_wskakunin_owner8_NAME_KANA">DATA!$F$176</definedName>
    <definedName name="cst_wskakunin_owner8_POST">DATA!$F$173</definedName>
    <definedName name="cst_wskakunin_owner8_POST_KANA">DATA!$F$174</definedName>
    <definedName name="cst_wskakunin_owner8_TEL">DATA!$F$179</definedName>
    <definedName name="cst_wskakunin_owner8_ZIP">DATA!$F$177</definedName>
    <definedName name="cst_wskakunin_owner9__address">DATA!$F$189</definedName>
    <definedName name="cst_wskakunin_owner9_JIMU_NAME">DATA!$F$182</definedName>
    <definedName name="cst_wskakunin_owner9_JIMU_NAME_KANA">DATA!$F$183</definedName>
    <definedName name="cst_wskakunin_owner9_NAME">DATA!$F$186</definedName>
    <definedName name="cst_wskakunin_owner9_NAME_KANA">DATA!$F$187</definedName>
    <definedName name="cst_wskakunin_owner9_POST">DATA!$F$184</definedName>
    <definedName name="cst_wskakunin_owner9_POST_KANA">DATA!$F$185</definedName>
    <definedName name="cst_wskakunin_owner9_TEL">DATA!$F$190</definedName>
    <definedName name="cst_wskakunin_owner9_ZIP">DATA!$F$188</definedName>
    <definedName name="cst_wskakunin_P1_HENKOU_GAIYOU">DATA!$F$63</definedName>
    <definedName name="cst_wskakunin_P2_BIKOU">DATA!$F$844</definedName>
    <definedName name="cst_wskakunin_P3_BIKOU">DATA!$F$1181</definedName>
    <definedName name="cst_wskakunin_P3_SONOTA">DATA!$F$1179</definedName>
    <definedName name="cst_wskakunin_p4_1__kouji">DATA!$F$885</definedName>
    <definedName name="cst_wskakunin_p4_1_KAISU_TIKAI">DATA!$F$887</definedName>
    <definedName name="cst_wskakunin_p4_1_KAISU_TIKAI_NOZOKU">DATA!$F$886</definedName>
    <definedName name="cst_wskakunin_p4_1_KAISU_YUKA_MENSEKI_SHINSEI">DATA!$F$892</definedName>
    <definedName name="cst_wskakunin_p4_1_KOUZOU1">DATA!$F$888</definedName>
    <definedName name="cst_wskakunin_p4_1_KOUZOU2">DATA!$F$889</definedName>
    <definedName name="cst_wskakunin_p4_1_p5_1_KAI">DATA!$F$897</definedName>
    <definedName name="cst_wskakunin_p4_1_p5_1_P4_MENSEKI_SHINSEI">DATA!$F$898</definedName>
    <definedName name="cst_wskakunin_p4_1_p5_2_KAI">DATA!$F$899</definedName>
    <definedName name="cst_wskakunin_p4_1_p5_2_P4_MENSEKI_SHINSEI">DATA!$F$900</definedName>
    <definedName name="cst_wskakunin_p4_1_p5_3_KAI">DATA!$F$901</definedName>
    <definedName name="cst_wskakunin_p4_1_p5_3_P4_MENSEKI_SHINSEI">DATA!$F$902</definedName>
    <definedName name="cst_wskakunin_p4_1_TAKASA_KEN_MAX">DATA!$F$891</definedName>
    <definedName name="cst_wskakunin_p4_1_TAKASA_MAX">DATA!$F$890</definedName>
    <definedName name="cst_wskakunin_p4_1_TOKUREI_KAKUNIN_FLAG">DATA!$F$893</definedName>
    <definedName name="cst_wskakunin_p4_1_TOKUREI_KAKUNIN_FLAG_off">DATA!$F$895</definedName>
    <definedName name="cst_wskakunin_p4_1_TOKUREI_KAKUNIN_FLAG_on">DATA!$F$894</definedName>
    <definedName name="cst_wskakunin_p4_1_youto1_YOUTO">DATA!$F$876</definedName>
    <definedName name="cst_wskakunin_p4_1_youto1_YOUTO_1">DATA!$F$878</definedName>
    <definedName name="cst_wskakunin_p4_1_youto1_YOUTO_2">DATA!$F$879</definedName>
    <definedName name="cst_wskakunin_p4_1_youto1_YOUTO_3">DATA!$F$880</definedName>
    <definedName name="cst_wskakunin_p4_1_youto1_YOUTO_4">DATA!$F$881</definedName>
    <definedName name="cst_wskakunin_p4_1_youto1_YOUTO_5">DATA!$F$882</definedName>
    <definedName name="cst_wskakunin_p4_1_youto1_YOUTO_6">DATA!$F$883</definedName>
    <definedName name="cst_wskakunin_p4_1_youto1_YOUTO_9">DATA!$F$884</definedName>
    <definedName name="cst_wskakunin_p4_1_youto1_YOUTO_CODE">DATA!$F$877</definedName>
    <definedName name="cst_wskakunin_PAGE1_ALTERATION_NOTE">DATA!$F$70</definedName>
    <definedName name="cst_wskakunin_sekkei1__address">DATA!$F$298</definedName>
    <definedName name="cst_wskakunin_sekkei1__sikaku">DATA!$F$286</definedName>
    <definedName name="cst_wskakunin_sekkei1_DOC">DATA!$F$300</definedName>
    <definedName name="cst_wskakunin_sekkei1_JIMU__sikaku">DATA!$F$291</definedName>
    <definedName name="cst_wskakunin_sekkei1_JIMU_NAME">DATA!$F$295</definedName>
    <definedName name="cst_wskakunin_sekkei1_JIMU_NO">DATA!$F$294</definedName>
    <definedName name="cst_wskakunin_sekkei1_JIMU_SIKAKU">DATA!$F$292</definedName>
    <definedName name="cst_wskakunin_sekkei1_JIMU_TOUROKU_KIKAN">DATA!$F$293</definedName>
    <definedName name="cst_wskakunin_sekkei1_jimuname_name">DATA!$F$296</definedName>
    <definedName name="cst_wskakunin_sekkei1_KENTIKUSI_NO">DATA!$F$289</definedName>
    <definedName name="cst_wskakunin_sekkei1_NAME">DATA!$F$290</definedName>
    <definedName name="cst_wskakunin_sekkei1_SIKAKU">DATA!$F$287</definedName>
    <definedName name="cst_wskakunin_sekkei1_TEL">DATA!$F$299</definedName>
    <definedName name="cst_wskakunin_sekkei1_TOUROKU_KIKAN">DATA!$F$288</definedName>
    <definedName name="cst_wskakunin_sekkei1_ZIP">DATA!$F$297</definedName>
    <definedName name="cst_wskakunin_sekkei10__address">DATA!$F$451</definedName>
    <definedName name="cst_wskakunin_sekkei10__sikaku">DATA!$F$439</definedName>
    <definedName name="cst_wskakunin_sekkei10_DOC">DATA!$F$453</definedName>
    <definedName name="cst_wskakunin_sekkei10_JIMU__sikaku">DATA!$F$444</definedName>
    <definedName name="cst_wskakunin_sekkei10_JIMU_NAME">DATA!$F$448</definedName>
    <definedName name="cst_wskakunin_sekkei10_JIMU_NO">DATA!$F$447</definedName>
    <definedName name="cst_wskakunin_sekkei10_JIMU_SIKAKU">DATA!$F$445</definedName>
    <definedName name="cst_wskakunin_sekkei10_JIMU_TOUROKU_KIKAN">DATA!$F$446</definedName>
    <definedName name="cst_wskakunin_sekkei10_jimuname_name">DATA!$F$449</definedName>
    <definedName name="cst_wskakunin_sekkei10_KENTIKUSI_NO">DATA!$F$442</definedName>
    <definedName name="cst_wskakunin_sekkei10_NAME">DATA!$F$443</definedName>
    <definedName name="cst_wskakunin_sekkei10_SIKAKU">DATA!$F$440</definedName>
    <definedName name="cst_wskakunin_sekkei10_TEL">DATA!$F$452</definedName>
    <definedName name="cst_wskakunin_sekkei10_TOUROKU_KIKAN">DATA!$F$441</definedName>
    <definedName name="cst_wskakunin_sekkei10_ZIP">DATA!$F$450</definedName>
    <definedName name="cst_wskakunin_sekkei11__address">DATA!$F$468</definedName>
    <definedName name="cst_wskakunin_sekkei11__sikaku">DATA!$F$456</definedName>
    <definedName name="cst_wskakunin_sekkei11_DOC">DATA!$F$470</definedName>
    <definedName name="cst_wskakunin_sekkei11_JIMU__sikaku">DATA!$F$461</definedName>
    <definedName name="cst_wskakunin_sekkei11_JIMU_NAME">DATA!$F$465</definedName>
    <definedName name="cst_wskakunin_sekkei11_JIMU_NO">DATA!$F$464</definedName>
    <definedName name="cst_wskakunin_sekkei11_JIMU_SIKAKU">DATA!$F$462</definedName>
    <definedName name="cst_wskakunin_sekkei11_JIMU_TOUROKU_KIKAN">DATA!$F$463</definedName>
    <definedName name="cst_wskakunin_sekkei11_jimuname_name">DATA!$F$466</definedName>
    <definedName name="cst_wskakunin_sekkei11_KENTIKUSI_NO">DATA!$F$459</definedName>
    <definedName name="cst_wskakunin_sekkei11_NAME">DATA!$F$460</definedName>
    <definedName name="cst_wskakunin_sekkei11_SIKAKU">DATA!$F$457</definedName>
    <definedName name="cst_wskakunin_sekkei11_TEL">DATA!$F$469</definedName>
    <definedName name="cst_wskakunin_sekkei11_TOUROKU_KIKAN">DATA!$F$458</definedName>
    <definedName name="cst_wskakunin_sekkei11_ZIP">DATA!$F$467</definedName>
    <definedName name="cst_wskakunin_sekkei12__address">DATA!$F$485</definedName>
    <definedName name="cst_wskakunin_sekkei12__sikaku">DATA!$F$473</definedName>
    <definedName name="cst_wskakunin_sekkei12_DOC">DATA!$F$487</definedName>
    <definedName name="cst_wskakunin_sekkei12_JIMU__sikaku">DATA!$F$478</definedName>
    <definedName name="cst_wskakunin_sekkei12_JIMU_NAME">DATA!$F$482</definedName>
    <definedName name="cst_wskakunin_sekkei12_JIMU_NO">DATA!$F$481</definedName>
    <definedName name="cst_wskakunin_sekkei12_JIMU_SIKAKU">DATA!$F$479</definedName>
    <definedName name="cst_wskakunin_sekkei12_JIMU_TOUROKU_KIKAN">DATA!$F$480</definedName>
    <definedName name="cst_wskakunin_sekkei12_jimuname_name">DATA!$F$483</definedName>
    <definedName name="cst_wskakunin_sekkei12_KENTIKUSI_NO">DATA!$F$476</definedName>
    <definedName name="cst_wskakunin_sekkei12_NAME">DATA!$F$477</definedName>
    <definedName name="cst_wskakunin_sekkei12_SIKAKU">DATA!$F$474</definedName>
    <definedName name="cst_wskakunin_sekkei12_TEL">DATA!$F$486</definedName>
    <definedName name="cst_wskakunin_sekkei12_TOUROKU_KIKAN">DATA!$F$475</definedName>
    <definedName name="cst_wskakunin_sekkei12_ZIP">DATA!$F$484</definedName>
    <definedName name="cst_wskakunin_sekkei2__address">DATA!$F$315</definedName>
    <definedName name="cst_wskakunin_sekkei2__sikaku">DATA!$F$303</definedName>
    <definedName name="cst_wskakunin_sekkei2_DOC">DATA!$F$317</definedName>
    <definedName name="cst_wskakunin_sekkei2_JIMU__sikaku">DATA!$F$308</definedName>
    <definedName name="cst_wskakunin_sekkei2_JIMU_NAME">DATA!$F$312</definedName>
    <definedName name="cst_wskakunin_sekkei2_JIMU_NO">DATA!$F$311</definedName>
    <definedName name="cst_wskakunin_sekkei2_JIMU_SIKAKU">DATA!$F$309</definedName>
    <definedName name="cst_wskakunin_sekkei2_JIMU_TOUROKU_KIKAN">DATA!$F$310</definedName>
    <definedName name="cst_wskakunin_sekkei2_jimuname_name">DATA!$F$313</definedName>
    <definedName name="cst_wskakunin_sekkei2_KENTIKUSI_NO">DATA!$F$306</definedName>
    <definedName name="cst_wskakunin_sekkei2_NAME">DATA!$F$307</definedName>
    <definedName name="cst_wskakunin_sekkei2_SIKAKU">DATA!$F$304</definedName>
    <definedName name="cst_wskakunin_sekkei2_TEL">DATA!$F$316</definedName>
    <definedName name="cst_wskakunin_sekkei2_TOUROKU_KIKAN">DATA!$F$305</definedName>
    <definedName name="cst_wskakunin_sekkei2_ZIP">DATA!$F$314</definedName>
    <definedName name="cst_wskakunin_sekkei3__address">DATA!$F$332</definedName>
    <definedName name="cst_wskakunin_sekkei3__sikaku">DATA!$F$320</definedName>
    <definedName name="cst_wskakunin_sekkei3_DOC">DATA!$F$334</definedName>
    <definedName name="cst_wskakunin_sekkei3_JIMU__sikaku">DATA!$F$325</definedName>
    <definedName name="cst_wskakunin_sekkei3_JIMU_NAME">DATA!$F$329</definedName>
    <definedName name="cst_wskakunin_sekkei3_JIMU_NO">DATA!$F$328</definedName>
    <definedName name="cst_wskakunin_sekkei3_JIMU_SIKAKU">DATA!$F$326</definedName>
    <definedName name="cst_wskakunin_sekkei3_JIMU_TOUROKU_KIKAN">DATA!$F$327</definedName>
    <definedName name="cst_wskakunin_sekkei3_jimuname_name">DATA!$F$330</definedName>
    <definedName name="cst_wskakunin_sekkei3_KENTIKUSI_NO">DATA!$F$323</definedName>
    <definedName name="cst_wskakunin_sekkei3_NAME">DATA!$F$324</definedName>
    <definedName name="cst_wskakunin_sekkei3_SIKAKU">DATA!$F$321</definedName>
    <definedName name="cst_wskakunin_sekkei3_TEL">DATA!$F$333</definedName>
    <definedName name="cst_wskakunin_sekkei3_TOUROKU_KIKAN">DATA!$F$322</definedName>
    <definedName name="cst_wskakunin_sekkei3_ZIP">DATA!$F$331</definedName>
    <definedName name="cst_wskakunin_sekkei4__address">DATA!$F$349</definedName>
    <definedName name="cst_wskakunin_sekkei4__sikaku">DATA!$F$337</definedName>
    <definedName name="cst_wskakunin_sekkei4_DOC">DATA!$F$351</definedName>
    <definedName name="cst_wskakunin_sekkei4_JIMU__sikaku">DATA!$F$342</definedName>
    <definedName name="cst_wskakunin_sekkei4_JIMU_NAME">DATA!$F$346</definedName>
    <definedName name="cst_wskakunin_sekkei4_JIMU_NO">DATA!$F$345</definedName>
    <definedName name="cst_wskakunin_sekkei4_JIMU_SIKAKU">DATA!$F$343</definedName>
    <definedName name="cst_wskakunin_sekkei4_JIMU_TOUROKU_KIKAN">DATA!$F$344</definedName>
    <definedName name="cst_wskakunin_sekkei4_jimuname_name">DATA!$F$347</definedName>
    <definedName name="cst_wskakunin_sekkei4_KENTIKUSI_NO">DATA!$F$340</definedName>
    <definedName name="cst_wskakunin_sekkei4_NAME">DATA!$F$341</definedName>
    <definedName name="cst_wskakunin_sekkei4_SIKAKU">DATA!$F$338</definedName>
    <definedName name="cst_wskakunin_sekkei4_TEL">DATA!$F$350</definedName>
    <definedName name="cst_wskakunin_sekkei4_TOUROKU_KIKAN">DATA!$F$339</definedName>
    <definedName name="cst_wskakunin_sekkei4_ZIP">DATA!$F$348</definedName>
    <definedName name="cst_wskakunin_sekkei5__address">DATA!$F$366</definedName>
    <definedName name="cst_wskakunin_sekkei5__sikaku">DATA!$F$354</definedName>
    <definedName name="cst_wskakunin_sekkei5_DOC">DATA!$F$368</definedName>
    <definedName name="cst_wskakunin_sekkei5_JIMU__sikaku">DATA!$F$359</definedName>
    <definedName name="cst_wskakunin_sekkei5_JIMU_NAME">DATA!$F$363</definedName>
    <definedName name="cst_wskakunin_sekkei5_JIMU_NO">DATA!$F$362</definedName>
    <definedName name="cst_wskakunin_sekkei5_JIMU_SIKAKU">DATA!$F$360</definedName>
    <definedName name="cst_wskakunin_sekkei5_JIMU_TOUROKU_KIKAN">DATA!$F$361</definedName>
    <definedName name="cst_wskakunin_sekkei5_jimuname_name">DATA!$F$364</definedName>
    <definedName name="cst_wskakunin_sekkei5_KENTIKUSI_NO">DATA!$F$357</definedName>
    <definedName name="cst_wskakunin_sekkei5_NAME">DATA!$F$358</definedName>
    <definedName name="cst_wskakunin_sekkei5_SIKAKU">DATA!$F$355</definedName>
    <definedName name="cst_wskakunin_sekkei5_TEL">DATA!$F$367</definedName>
    <definedName name="cst_wskakunin_sekkei5_TOUROKU_KIKAN">DATA!$F$356</definedName>
    <definedName name="cst_wskakunin_sekkei5_ZIP">DATA!$F$365</definedName>
    <definedName name="cst_wskakunin_sekkei6__address">DATA!$F$383</definedName>
    <definedName name="cst_wskakunin_sekkei6__sikaku">DATA!$F$371</definedName>
    <definedName name="cst_wskakunin_sekkei6_DOC">DATA!$F$385</definedName>
    <definedName name="cst_wskakunin_sekkei6_JIMU__sikaku">DATA!$F$376</definedName>
    <definedName name="cst_wskakunin_sekkei6_JIMU_NAME">DATA!$F$380</definedName>
    <definedName name="cst_wskakunin_sekkei6_JIMU_NO">DATA!$F$379</definedName>
    <definedName name="cst_wskakunin_sekkei6_JIMU_SIKAKU">DATA!$F$377</definedName>
    <definedName name="cst_wskakunin_sekkei6_JIMU_TOUROKU_KIKAN">DATA!$F$378</definedName>
    <definedName name="cst_wskakunin_sekkei6_jimuname_name">DATA!$F$381</definedName>
    <definedName name="cst_wskakunin_sekkei6_KENTIKUSI_NO">DATA!$F$374</definedName>
    <definedName name="cst_wskakunin_sekkei6_NAME">DATA!$F$375</definedName>
    <definedName name="cst_wskakunin_sekkei6_SIKAKU">DATA!$F$372</definedName>
    <definedName name="cst_wskakunin_sekkei6_TEL">DATA!$F$384</definedName>
    <definedName name="cst_wskakunin_sekkei6_TOUROKU_KIKAN">DATA!$F$373</definedName>
    <definedName name="cst_wskakunin_sekkei6_ZIP">DATA!$F$382</definedName>
    <definedName name="cst_wskakunin_sekkei7__address">DATA!$F$400</definedName>
    <definedName name="cst_wskakunin_sekkei7__sikaku">DATA!$F$388</definedName>
    <definedName name="cst_wskakunin_sekkei7_DOC">DATA!$F$402</definedName>
    <definedName name="cst_wskakunin_sekkei7_JIMU__sikaku">DATA!$F$393</definedName>
    <definedName name="cst_wskakunin_sekkei7_JIMU_NAME">DATA!$F$397</definedName>
    <definedName name="cst_wskakunin_sekkei7_JIMU_NO">DATA!$F$396</definedName>
    <definedName name="cst_wskakunin_sekkei7_JIMU_SIKAKU">DATA!$F$394</definedName>
    <definedName name="cst_wskakunin_sekkei7_JIMU_TOUROKU_KIKAN">DATA!$F$395</definedName>
    <definedName name="cst_wskakunin_sekkei7_jimuname_name">DATA!$F$398</definedName>
    <definedName name="cst_wskakunin_sekkei7_KENTIKUSI_NO">DATA!$F$391</definedName>
    <definedName name="cst_wskakunin_sekkei7_NAME">DATA!$F$392</definedName>
    <definedName name="cst_wskakunin_sekkei7_SIKAKU">DATA!$F$389</definedName>
    <definedName name="cst_wskakunin_sekkei7_TEL">DATA!$F$401</definedName>
    <definedName name="cst_wskakunin_sekkei7_TOUROKU_KIKAN">DATA!$F$390</definedName>
    <definedName name="cst_wskakunin_sekkei7_ZIP">DATA!$F$399</definedName>
    <definedName name="cst_wskakunin_sekkei8__address">DATA!$F$417</definedName>
    <definedName name="cst_wskakunin_sekkei8__sikaku">DATA!$F$405</definedName>
    <definedName name="cst_wskakunin_sekkei8_DOC">DATA!$F$419</definedName>
    <definedName name="cst_wskakunin_sekkei8_JIMU__sikaku">DATA!$F$410</definedName>
    <definedName name="cst_wskakunin_sekkei8_JIMU_NAME">DATA!$F$414</definedName>
    <definedName name="cst_wskakunin_sekkei8_JIMU_NO">DATA!$F$413</definedName>
    <definedName name="cst_wskakunin_sekkei8_JIMU_SIKAKU">DATA!$F$411</definedName>
    <definedName name="cst_wskakunin_sekkei8_JIMU_TOUROKU_KIKAN">DATA!$F$412</definedName>
    <definedName name="cst_wskakunin_sekkei8_jimuname_name">DATA!$F$415</definedName>
    <definedName name="cst_wskakunin_sekkei8_KENTIKUSI_NO">DATA!$F$408</definedName>
    <definedName name="cst_wskakunin_sekkei8_NAME">DATA!$F$409</definedName>
    <definedName name="cst_wskakunin_sekkei8_SIKAKU">DATA!$F$406</definedName>
    <definedName name="cst_wskakunin_sekkei8_TEL">DATA!$F$418</definedName>
    <definedName name="cst_wskakunin_sekkei8_TOUROKU_KIKAN">DATA!$F$407</definedName>
    <definedName name="cst_wskakunin_sekkei8_ZIP">DATA!$F$416</definedName>
    <definedName name="cst_wskakunin_sekkei9__address">DATA!$F$434</definedName>
    <definedName name="cst_wskakunin_sekkei9__sikaku">DATA!$F$422</definedName>
    <definedName name="cst_wskakunin_sekkei9_DOC">DATA!$F$436</definedName>
    <definedName name="cst_wskakunin_sekkei9_JIMU__sikaku">DATA!$F$427</definedName>
    <definedName name="cst_wskakunin_sekkei9_JIMU_NAME">DATA!$F$431</definedName>
    <definedName name="cst_wskakunin_sekkei9_JIMU_NO">DATA!$F$430</definedName>
    <definedName name="cst_wskakunin_sekkei9_JIMU_SIKAKU">DATA!$F$428</definedName>
    <definedName name="cst_wskakunin_sekkei9_JIMU_TOUROKU_KIKAN">DATA!$F$429</definedName>
    <definedName name="cst_wskakunin_sekkei9_jimuname_name">DATA!$F$432</definedName>
    <definedName name="cst_wskakunin_sekkei9_KENTIKUSI_NO">DATA!$F$425</definedName>
    <definedName name="cst_wskakunin_sekkei9_NAME">DATA!$F$426</definedName>
    <definedName name="cst_wskakunin_sekkei9_SIKAKU">DATA!$F$423</definedName>
    <definedName name="cst_wskakunin_sekkei9_TEL">DATA!$F$435</definedName>
    <definedName name="cst_wskakunin_sekkei9_TOUROKU_KIKAN">DATA!$F$424</definedName>
    <definedName name="cst_wskakunin_sekkei9_ZIP">DATA!$F$433</definedName>
    <definedName name="cst_wskakunin_sekou1__address">DATA!$F$784</definedName>
    <definedName name="cst_wskakunin_sekou1__hajime">DATA!$F$839</definedName>
    <definedName name="cst_wskakunin_sekou1__kistar">DATA!$F$840</definedName>
    <definedName name="cst_wskakunin_sekou1_JIMU_NAME">DATA!$F$782</definedName>
    <definedName name="cst_wskakunin_sekou1_kakunin">DATA!$F$787</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TEL_dsp">DATA!$F$786</definedName>
    <definedName name="cst_wskakunin_sekou1_ZIP">DATA!$F$783</definedName>
    <definedName name="cst_wskakunin_sekou2__address">DATA!$F$795</definedName>
    <definedName name="cst_wskakunin_sekou2_JIMU_NAME">DATA!$F$793</definedName>
    <definedName name="cst_wskakunin_sekou2_NAME">DATA!$F$789</definedName>
    <definedName name="cst_wskakunin_sekou2_SEKOU__sikaku">DATA!$F$790</definedName>
    <definedName name="cst_wskakunin_sekou2_SEKOU_NO">DATA!$F$792</definedName>
    <definedName name="cst_wskakunin_sekou2_SEKOU_SIKAKU">DATA!$F$791</definedName>
    <definedName name="cst_wskakunin_sekou2_TEL">DATA!$F$796</definedName>
    <definedName name="cst_wskakunin_sekou2_ZIP">DATA!$F$794</definedName>
    <definedName name="cst_wskakunin_sekou3__address">DATA!$F$805</definedName>
    <definedName name="cst_wskakunin_sekou3_JIMU_NAME">DATA!$F$803</definedName>
    <definedName name="cst_wskakunin_sekou3_NAME">DATA!$F$799</definedName>
    <definedName name="cst_wskakunin_sekou3_SEKOU__sikaku">DATA!$F$800</definedName>
    <definedName name="cst_wskakunin_sekou3_SEKOU_NO">DATA!$F$802</definedName>
    <definedName name="cst_wskakunin_sekou3_SEKOU_SIKAKU">DATA!$F$801</definedName>
    <definedName name="cst_wskakunin_sekou3_TEL">DATA!$F$806</definedName>
    <definedName name="cst_wskakunin_sekou3_ZIP">DATA!$F$804</definedName>
    <definedName name="cst_wskakunin_sekou4__address">DATA!$F$815</definedName>
    <definedName name="cst_wskakunin_sekou4_JIMU_NAME">DATA!$F$813</definedName>
    <definedName name="cst_wskakunin_sekou4_NAME">DATA!$F$809</definedName>
    <definedName name="cst_wskakunin_sekou4_SEKOU__sikaku">DATA!$F$810</definedName>
    <definedName name="cst_wskakunin_sekou4_SEKOU_NO">DATA!$F$812</definedName>
    <definedName name="cst_wskakunin_sekou4_SEKOU_SIKAKU">DATA!$F$811</definedName>
    <definedName name="cst_wskakunin_sekou4_TEL">DATA!$F$816</definedName>
    <definedName name="cst_wskakunin_sekou4_ZIP">DATA!$F$814</definedName>
    <definedName name="cst_wskakunin_sekou5__address">DATA!$F$825</definedName>
    <definedName name="cst_wskakunin_sekou5_JIMU_NAME">DATA!$F$823</definedName>
    <definedName name="cst_wskakunin_sekou5_NAME">DATA!$F$819</definedName>
    <definedName name="cst_wskakunin_sekou5_SEKOU__sikaku">DATA!$F$820</definedName>
    <definedName name="cst_wskakunin_sekou5_SEKOU_NO">DATA!$F$822</definedName>
    <definedName name="cst_wskakunin_sekou5_SEKOU_SIKAKU">DATA!$F$821</definedName>
    <definedName name="cst_wskakunin_sekou5_TEL">DATA!$F$826</definedName>
    <definedName name="cst_wskakunin_sekou5_ZIP">DATA!$F$824</definedName>
    <definedName name="cst_wskakunin_sekou6__address">DATA!$F$835</definedName>
    <definedName name="cst_wskakunin_sekou6_JIMU_NAME">DATA!$F$833</definedName>
    <definedName name="cst_wskakunin_sekou6_NAME">DATA!$F$829</definedName>
    <definedName name="cst_wskakunin_sekou6_SEKOU__sikaku">DATA!$F$830</definedName>
    <definedName name="cst_wskakunin_sekou6_SEKOU_NO">DATA!$F$832</definedName>
    <definedName name="cst_wskakunin_sekou6_SEKOU_SIKAKU">DATA!$F$831</definedName>
    <definedName name="cst_wskakunin_sekou6_TEL">DATA!$F$836</definedName>
    <definedName name="cst_wskakunin_sekou6_ZIP">DATA!$F$834</definedName>
    <definedName name="cst_wskakunin_SHIKITI_MENSEKI_1_TOTAL">DATA!$F$964</definedName>
    <definedName name="cst_wskakunin_SHIKITI_MENSEKI_1A">DATA!$F$940</definedName>
    <definedName name="cst_wskakunin_SHIKITI_MENSEKI_1B">DATA!$F$941</definedName>
    <definedName name="cst_wskakunin_SHIKITI_MENSEKI_1C">DATA!$F$942</definedName>
    <definedName name="cst_wskakunin_SHIKITI_MENSEKI_1D">DATA!$F$943</definedName>
    <definedName name="cst_wskakunin_SHIKITI_MENSEKI_2_TOTAL">DATA!$F$965</definedName>
    <definedName name="cst_wskakunin_SHIKITI_MENSEKI_2A">DATA!$F$944</definedName>
    <definedName name="cst_wskakunin_SHIKITI_MENSEKI_2B">DATA!$F$945</definedName>
    <definedName name="cst_wskakunin_SHIKITI_MENSEKI_2C">DATA!$F$946</definedName>
    <definedName name="cst_wskakunin_SHIKITI_MENSEKI_2D">DATA!$F$947</definedName>
    <definedName name="cst_wskakunin_SHIKITI_MENSEKI_BIKOU">DATA!$F$968</definedName>
    <definedName name="cst_wskakunin_SHINSEI_DATE">DATA!$F$58</definedName>
    <definedName name="cst_wskakunin_TAKASA_MAX_SHINSEI">DATA!$F$1095</definedName>
    <definedName name="cst_wskakunin_TAKASA_MAX_SONOTA">DATA!$F$1096</definedName>
    <definedName name="cst_wskakunin_tekihan01_TEKIHAN_KIKAN_ADDRESS">DATA!$F$854</definedName>
    <definedName name="cst_wskakunin_tekihan01_TEKIHAN_KIKAN_info">DATA!$F$855</definedName>
    <definedName name="cst_wskakunin_tekihan01_TEKIHAN_KIKAN_KEN__ken">DATA!$F$853</definedName>
    <definedName name="cst_wskakunin_tekihan01_TEKIHAN_KIKAN_NAME">DATA!$F$852</definedName>
    <definedName name="cst_wskakunin_tekihan01_TEKIHAN_STATE_mishinsei">DATA!$F$850</definedName>
    <definedName name="cst_wskakunin_tekihan01_TEKIHAN_STATE_shinsei">DATA!$F$849</definedName>
    <definedName name="cst_wskakunin_tekihan01_TEKIHAN_STATE_shinseifuyou">DATA!$F$851</definedName>
    <definedName name="cst_wskakunin_tekihan02_TEKIHAN_KIKAN_ADDRESS">DATA!$F$858</definedName>
    <definedName name="cst_wskakunin_tekihan02_TEKIHAN_KIKAN_info">DATA!$F$859</definedName>
    <definedName name="cst_wskakunin_tekihan02_TEKIHAN_KIKAN_KEN__ken">DATA!$F$857</definedName>
    <definedName name="cst_wskakunin_tekihan02_TEKIHAN_KIKAN_NAME">DATA!$F$856</definedName>
    <definedName name="cst_wskakunin_TOKUREI_TAKASA">DATA!$F$1110</definedName>
    <definedName name="cst_wskakunin_TOKUREI_TAKASA_box_off">DATA!$F$1112</definedName>
    <definedName name="cst_wskakunin_TOKUREI_TAKASA_box_on">DATA!$F$1111</definedName>
    <definedName name="cst_wskakunin_TOKUREI_TAKASA_DOURO">DATA!$F$1115</definedName>
    <definedName name="cst_wskakunin_TOKUREI_TAKASA_KITA">DATA!$F$1117</definedName>
    <definedName name="cst_wskakunin_TOKUREI_TAKASA_RINTI">DATA!$F$1116</definedName>
    <definedName name="cst_wskakunin_TOKUREI_txt">DATA!$F$1188</definedName>
    <definedName name="cst_wskakunin_TOKUTEI_KOUJI_KANRYOU_DATE_select">DATA!$F$1204</definedName>
    <definedName name="cst_wskakunin_TOKUTEI_KOUTEI">DATA!$F$1201</definedName>
    <definedName name="cst_wskakunin_TOKUTEI_KOUTEI_inter1">DATA!$F$1202</definedName>
    <definedName name="cst_wskakunin_TOKUTEI_KOUTEI_inter2">DATA!$F$1203</definedName>
    <definedName name="cst_wskakunin_wskakunin_SONOTA_KUIKI">DATA!$F$932</definedName>
    <definedName name="cst_wskakunin_YOUSEKI_RITU">DATA!$F$1087</definedName>
    <definedName name="cst_wskakunin_YOUSEKI_RITU_A">DATA!$F$954</definedName>
    <definedName name="cst_wskakunin_YOUSEKI_RITU_B">DATA!$F$955</definedName>
    <definedName name="cst_wskakunin_YOUSEKI_RITU_C">DATA!$F$956</definedName>
    <definedName name="cst_wskakunin_YOUSEKI_RITU_D">DATA!$F$957</definedName>
    <definedName name="cst_wskakunin_YOUTO">DATA!$F$971</definedName>
    <definedName name="cst_wskakunin_YOUTO_CODE">DATA!$F$970</definedName>
    <definedName name="cst_wskakunin_YOUTO_kodate_box">DATA!$F$973</definedName>
    <definedName name="cst_wskakunin_YOUTO_kyoudou_box">DATA!$F$974</definedName>
    <definedName name="cst_wskakunin_YOUTO_TIIKI_A">DATA!$F$949</definedName>
    <definedName name="cst_wskakunin_YOUTO_TIIKI_B">DATA!$F$950</definedName>
    <definedName name="cst_wskakunin_YOUTO_TIIKI_C">DATA!$F$951</definedName>
    <definedName name="cst_wskakunin_YOUTO_TIIKI_D">DATA!$F$952</definedName>
    <definedName name="_xlnm.Print_Area" localSheetId="21">確認取り下げ届_確認済証交付前!$A$1:$AF$41</definedName>
    <definedName name="_xlnm.Print_Area" localSheetId="15">監理者選任_大阪府下のみ!$A$1:$AD$78</definedName>
    <definedName name="_xlnm.Print_Area" localSheetId="16">軽微な変更!$A$1:$AG$52</definedName>
    <definedName name="_xlnm.Print_Area" localSheetId="18">建築主等変更!$A$1:$AF$67</definedName>
    <definedName name="_xlnm.Print_Area" localSheetId="17">誤記訂正届!$A$1:$AK$51</definedName>
    <definedName name="_xlnm.Print_Area" localSheetId="22">工事取りやめ届_確認済証交付後!$A$1:$AF$39</definedName>
    <definedName name="_xlnm.Print_Area" localSheetId="20">選定届!$A$1:$AF$41</definedName>
    <definedName name="_xlnm.Print_Area" localSheetId="19">別紙!$A$1:$AF$64</definedName>
    <definedName name="_xlnm.Print_Titles" localSheetId="14">追加様式!$1:$1</definedName>
    <definedName name="shinsei_ACCEPT_DATE">DATA!$D$38</definedName>
    <definedName name="shinsei_build_p6_01_PAGE6_KOUZOU_KEISAN_KIND__002">DATA!$D$55</definedName>
    <definedName name="shinsei_build_p6_01_PAGE6_KOUZOU_KEISAN_KIND__004">DATA!$D$54</definedName>
    <definedName name="shinsei_build_p6_01_PAGE6_KOUZOU_KEISAN_KIND__005">DATA!$D$53</definedName>
    <definedName name="shinsei_build_YOUTO">DATA!$D$1333</definedName>
    <definedName name="shinsei_HIKIUKE_DATE">DATA!$D$42</definedName>
    <definedName name="shinsei_ISSUE_DATE">DATA!$D$48</definedName>
    <definedName name="shinsei_ISSUE_KOUFU_NAME">DATA!$D$50</definedName>
    <definedName name="shinsei_ISSUE_NO">DATA!$D$44</definedName>
    <definedName name="shinsei_KAKU_SUMI_NO">DATA!$D$46</definedName>
    <definedName name="shinsei_PROVO_DATE">DATA!$D$34</definedName>
    <definedName name="shinsei_PROVO_NO">DATA!$D$35</definedName>
    <definedName name="shinsei_UKETUKE_NO">DATA!$D$40</definedName>
    <definedName name="shinsei_UNIT_COUNT">DATA!$D$972</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dSHEET!$B$33</definedName>
    <definedName name="showsheetflag_リスト">dSHEET!$B$11</definedName>
    <definedName name="showsheetflag_委任状">dSHEET!$B$16</definedName>
    <definedName name="showsheetflag_確認取り下げ届_確認済証交付前">dSHEET!$B$27</definedName>
    <definedName name="showsheetflag_監理者選任_大阪府下のみ">dSHEET!$B$21</definedName>
    <definedName name="showsheetflag_軽微な変更">dSHEET!$B$22</definedName>
    <definedName name="showsheetflag_建築計画概要書_第三面">dSHEET!$B$15</definedName>
    <definedName name="showsheetflag_建築工事届">dSHEET!$B$14</definedName>
    <definedName name="showsheetflag_建築主等変更">dSHEET!$B$24</definedName>
    <definedName name="showsheetflag_誤記訂正届">dSHEET!$B$23</definedName>
    <definedName name="showsheetflag_工事取りやめ届_確認済証交付後">dSHEET!$B$28</definedName>
    <definedName name="showsheetflag_項目リスト">dSHEET!$B$8</definedName>
    <definedName name="showsheetflag_説明">dSHEET!$B$32</definedName>
    <definedName name="showsheetflag_選定届">dSHEET!$B$26</definedName>
    <definedName name="showsheetflag_追加説明書_確認申請">dSHEET!$B$17</definedName>
    <definedName name="showsheetflag_追加説明書_完了検査">dSHEET!$B$19</definedName>
    <definedName name="showsheetflag_追加説明書_中間検査">dSHEET!$B$18</definedName>
    <definedName name="showsheetflag_追加様式">dSHEET!$B$20</definedName>
    <definedName name="showsheetflag_非表示予定">dSHEET!$B$31</definedName>
    <definedName name="showsheetflag_別紙">dSHEET!$B$25</definedName>
    <definedName name="showsheetflag_用途の区分">dSHEET!$B$12</definedName>
    <definedName name="wsflat35_dairi1_POST">DATA!$D$197</definedName>
    <definedName name="wsjob_JOB_KIND">DATA!$D$19</definedName>
    <definedName name="wsjob_JOB_SET_KIND">DATA!$D$12</definedName>
    <definedName name="wsjob_TARGET_KIND">DATA!$D$13</definedName>
    <definedName name="wsjob_TARGET_KIND__label">DATA!$D$11</definedName>
    <definedName name="wskakunin__bouka">DATA!$D$926</definedName>
    <definedName name="wskakunin__kouji">DATA!$D$976</definedName>
    <definedName name="wskakunin__kuiki">DATA!$D$917</definedName>
    <definedName name="wskakunin__tosi_kuiki">DATA!$D$920</definedName>
    <definedName name="wskakunin_20kouzou101_KOUZOUSEKKEI_KOUFU_NO">DATA!$D$492</definedName>
    <definedName name="wskakunin_20kouzou101_NAME">DATA!$D$491</definedName>
    <definedName name="wskakunin_20kouzou102_KOUZOUSEKKEI_KOUFU_NO">DATA!$D$494</definedName>
    <definedName name="wskakunin_20kouzou102_NAME">DATA!$D$493</definedName>
    <definedName name="wskakunin_20kouzou103_KOUZOUSEKKEI_KOUFU_NO">DATA!$D$496</definedName>
    <definedName name="wskakunin_20kouzou103_NAME">DATA!$D$495</definedName>
    <definedName name="wskakunin_20kouzou104_KOUZOUSEKKEI_KOUFU_NO">DATA!$D$498</definedName>
    <definedName name="wskakunin_20kouzou104_NAME">DATA!$D$497</definedName>
    <definedName name="wskakunin_20kouzou105_KOUZOUSEKKEI_KOUFU_NO">DATA!$D$500</definedName>
    <definedName name="wskakunin_20kouzou105_NAME">DATA!$D$499</definedName>
    <definedName name="wskakunin_20kouzou301_KOUZOUSEKKEI_KOUFU_NO">DATA!$D$504</definedName>
    <definedName name="wskakunin_20kouzou301_NAME">DATA!$D$503</definedName>
    <definedName name="wskakunin_20kouzou302_KOUZOUSEKKEI_KOUFU_NO">DATA!$D$506</definedName>
    <definedName name="wskakunin_20kouzou302_NAME">DATA!$D$505</definedName>
    <definedName name="wskakunin_20kouzou303_KOUZOUSEKKEI_KOUFU_NO">DATA!$D$508</definedName>
    <definedName name="wskakunin_20kouzou303_NAME">DATA!$D$507</definedName>
    <definedName name="wskakunin_20kouzou304_KOUZOUSEKKEI_KOUFU_NO">DATA!$D$510</definedName>
    <definedName name="wskakunin_20kouzou304_NAME">DATA!$D$509</definedName>
    <definedName name="wskakunin_20kouzou305_KOUZOUSEKKEI_KOUFU_NO">DATA!$D$512</definedName>
    <definedName name="wskakunin_20kouzou305_NAME">DATA!$D$511</definedName>
    <definedName name="wskakunin_20setubi101_NAME">DATA!$D$515</definedName>
    <definedName name="wskakunin_20setubi101_SETUBISEKKEI_KOUFU_NO">DATA!$D$516</definedName>
    <definedName name="wskakunin_20setubi102_NAME">DATA!$D$517</definedName>
    <definedName name="wskakunin_20setubi102_SETUBISEKKEI_KOUFU_NO">DATA!$D$518</definedName>
    <definedName name="wskakunin_20setubi103_NAME">DATA!$D$519</definedName>
    <definedName name="wskakunin_20setubi103_SETUBISEKKEI_KOUFU_NO">DATA!$D$520</definedName>
    <definedName name="wskakunin_20setubi104_NAME">DATA!$D$521</definedName>
    <definedName name="wskakunin_20setubi104_SETUBISEKKEI_KOUFU_NO">DATA!$D$522</definedName>
    <definedName name="wskakunin_20setubi105_NAME">DATA!$D$523</definedName>
    <definedName name="wskakunin_20setubi105_SETUBISEKKEI_KOUFU_NO">DATA!$D$524</definedName>
    <definedName name="wskakunin_20setubi301_NAME">DATA!$D$527</definedName>
    <definedName name="wskakunin_20setubi301_SETUBISEKKEI_KOUFU_NO">DATA!$D$528</definedName>
    <definedName name="wskakunin_20setubi302_NAME">DATA!$D$529</definedName>
    <definedName name="wskakunin_20setubi302_SETUBISEKKEI_KOUFU_NO">DATA!$D$530</definedName>
    <definedName name="wskakunin_20setubi303_NAME">DATA!$D$531</definedName>
    <definedName name="wskakunin_20setubi303_SETUBISEKKEI_KOUFU_NO">DATA!$D$532</definedName>
    <definedName name="wskakunin_20setubi304_NAME">DATA!$D$533</definedName>
    <definedName name="wskakunin_20setubi304_SETUBISEKKEI_KOUFU_NO">DATA!$D$534</definedName>
    <definedName name="wskakunin_20setubi305_NAME">DATA!$D$535</definedName>
    <definedName name="wskakunin_20setubi305_SETUBISEKKEI_KOUFU_NO">DATA!$D$536</definedName>
    <definedName name="wskakunin_APPLICANT_NAME">DATA!$D$73</definedName>
    <definedName name="wskakunin_BOUKA_22JYO">DATA!$D$930</definedName>
    <definedName name="wskakunin_BOUKA_BOUKA">DATA!$D$927</definedName>
    <definedName name="wskakunin_BOUKA_JYUN_BOUKA">DATA!$D$928</definedName>
    <definedName name="wskakunin_BOUKA_NASI">DATA!$D$929</definedName>
    <definedName name="wskakunin_BOUKA_SETUBI_FLAG">DATA!$D$1175</definedName>
    <definedName name="wskakunin_BUILD__address">DATA!$D$906</definedName>
    <definedName name="wskakunin_BUILD_ADDRESS">DATA!$D$908</definedName>
    <definedName name="wskakunin_BUILD_JYUKYO__address">DATA!$D$911</definedName>
    <definedName name="wskakunin_BUILD_JYUKYO_ADDRESS">DATA!$D$913</definedName>
    <definedName name="wskakunin_BUILD_JYUKYO_KEN__ken">DATA!$D$912</definedName>
    <definedName name="wskakunin_BUILD_KEN__ken">DATA!$D$907</definedName>
    <definedName name="wskakunin_BUILD_NAME">DATA!$D$842</definedName>
    <definedName name="wskakunin_BUILD_NAME_KANA">DATA!$D$843</definedName>
    <definedName name="wskakunin_BUILD_SHINSEI_COUNT">DATA!$D$1090</definedName>
    <definedName name="wskakunin_BUILD_SONOTA_COUNT">DATA!$D$1091</definedName>
    <definedName name="wskakunin_dairi1__address">DATA!$D$206</definedName>
    <definedName name="wskakunin_dairi1__sikaku">DATA!$D$193</definedName>
    <definedName name="wskakunin_dairi1_FAX">DATA!$D$209</definedName>
    <definedName name="wskakunin_dairi1_JIMU__sikaku">DATA!$D$200</definedName>
    <definedName name="wskakunin_dairi1_JIMU_NAME">DATA!$D$204</definedName>
    <definedName name="wskakunin_dairi1_JIMU_NO">DATA!$D$203</definedName>
    <definedName name="wskakunin_dairi1_JIMU_SIKAKU__label">DATA!$D$201</definedName>
    <definedName name="wskakunin_dairi1_JIMU_TOUROKU_KIKAN__label">DATA!$D$202</definedName>
    <definedName name="wskakunin_dairi1_KENTIKUSI_NO">DATA!$D$196</definedName>
    <definedName name="wskakunin_dairi1_NAME">DATA!$D$198</definedName>
    <definedName name="wskakunin_dairi1_NAME_KANA">DATA!$D$199</definedName>
    <definedName name="wskakunin_dairi1_SIKAKU__label">DATA!$D$194</definedName>
    <definedName name="wskakunin_dairi1_TEL">DATA!$D$207</definedName>
    <definedName name="wskakunin_dairi1_TOUROKU_KIKAN__label">DATA!$D$195</definedName>
    <definedName name="wskakunin_dairi1_ZIP">DATA!$D$205</definedName>
    <definedName name="wskakunin_dairi2__address">DATA!$D$226</definedName>
    <definedName name="wskakunin_dairi2__sikaku">DATA!$D$214</definedName>
    <definedName name="wskakunin_dairi2_FAX">DATA!$D$228</definedName>
    <definedName name="wskakunin_dairi2_JIMU__sikaku">DATA!$D$220</definedName>
    <definedName name="wskakunin_dairi2_JIMU_NAME">DATA!$D$224</definedName>
    <definedName name="wskakunin_dairi2_JIMU_NO">DATA!$D$223</definedName>
    <definedName name="wskakunin_dairi2_JIMU_SIKAKU__label">DATA!$D$221</definedName>
    <definedName name="wskakunin_dairi2_JIMU_TOUROKU_KIKAN__label">DATA!$D$222</definedName>
    <definedName name="wskakunin_dairi2_KENTIKUSI_NO">DATA!$D$217</definedName>
    <definedName name="wskakunin_dairi2_NAME">DATA!$D$218</definedName>
    <definedName name="wskakunin_dairi2_NAME_KANA">DATA!$D$219</definedName>
    <definedName name="wskakunin_dairi2_SIKAKU__label">DATA!$D$215</definedName>
    <definedName name="wskakunin_dairi2_TEL">DATA!$D$227</definedName>
    <definedName name="wskakunin_dairi2_TOUROKU_KIKAN__label">DATA!$D$216</definedName>
    <definedName name="wskakunin_dairi2_ZIP">DATA!$D$225</definedName>
    <definedName name="wskakunin_dairi3__address">DATA!$D$244</definedName>
    <definedName name="wskakunin_dairi3__sikaku">DATA!$D$232</definedName>
    <definedName name="wskakunin_dairi3_FAX">DATA!$D$246</definedName>
    <definedName name="wskakunin_dairi3_JIMU__sikaku">DATA!$D$238</definedName>
    <definedName name="wskakunin_dairi3_JIMU_NAME">DATA!$D$242</definedName>
    <definedName name="wskakunin_dairi3_JIMU_NO">DATA!$D$241</definedName>
    <definedName name="wskakunin_dairi3_JIMU_SIKAKU__label">DATA!$D$239</definedName>
    <definedName name="wskakunin_dairi3_JIMU_TOUROKU_KIKAN__label">DATA!$D$240</definedName>
    <definedName name="wskakunin_dairi3_KENTIKUSI_NO">DATA!$D$235</definedName>
    <definedName name="wskakunin_dairi3_NAME">DATA!$D$236</definedName>
    <definedName name="wskakunin_dairi3_NAME_KANA">DATA!$D$237</definedName>
    <definedName name="wskakunin_dairi3_SIKAKU__label">DATA!$D$233</definedName>
    <definedName name="wskakunin_dairi3_TEL">DATA!$D$245</definedName>
    <definedName name="wskakunin_dairi3_TOUROKU_KIKAN__label">DATA!$D$234</definedName>
    <definedName name="wskakunin_dairi3_ZIP">DATA!$D$243</definedName>
    <definedName name="wskakunin_dairi4__address">DATA!$D$262</definedName>
    <definedName name="wskakunin_dairi4__sikaku">DATA!$D$250</definedName>
    <definedName name="wskakunin_dairi4_FAX">DATA!$D$264</definedName>
    <definedName name="wskakunin_dairi4_JIMU__sikaku">DATA!$D$256</definedName>
    <definedName name="wskakunin_dairi4_JIMU_NAME">DATA!$D$260</definedName>
    <definedName name="wskakunin_dairi4_JIMU_NO">DATA!$D$259</definedName>
    <definedName name="wskakunin_dairi4_JIMU_SIKAKU__label">DATA!$D$257</definedName>
    <definedName name="wskakunin_dairi4_JIMU_TOUROKU_KIKAN__label">DATA!$D$258</definedName>
    <definedName name="wskakunin_dairi4_KENTIKUSI_NO">DATA!$D$253</definedName>
    <definedName name="wskakunin_dairi4_NAME">DATA!$D$254</definedName>
    <definedName name="wskakunin_dairi4_NAME_KANA">DATA!$D$255</definedName>
    <definedName name="wskakunin_dairi4_SIKAKU__label">DATA!$D$251</definedName>
    <definedName name="wskakunin_dairi4_TEL">DATA!$D$263</definedName>
    <definedName name="wskakunin_dairi4_TOUROKU_KIKAN__label">DATA!$D$252</definedName>
    <definedName name="wskakunin_dairi4_ZIP">DATA!$D$261</definedName>
    <definedName name="wskakunin_dairi5__address">DATA!$D$280</definedName>
    <definedName name="wskakunin_dairi5__sikaku">DATA!$D$268</definedName>
    <definedName name="wskakunin_dairi5_FAX">DATA!$D$282</definedName>
    <definedName name="wskakunin_dairi5_JIMU__sikaku">DATA!$D$274</definedName>
    <definedName name="wskakunin_dairi5_JIMU_NAME">DATA!$D$278</definedName>
    <definedName name="wskakunin_dairi5_JIMU_NO">DATA!$D$277</definedName>
    <definedName name="wskakunin_dairi5_JIMU_SIKAKU__label">DATA!$D$275</definedName>
    <definedName name="wskakunin_dairi5_JIMU_TOUROKU_KIKAN__label">DATA!$D$276</definedName>
    <definedName name="wskakunin_dairi5_KENTIKUSI_NO">DATA!$D$271</definedName>
    <definedName name="wskakunin_dairi5_NAME">DATA!$D$272</definedName>
    <definedName name="wskakunin_dairi5_NAME_KANA">DATA!$D$273</definedName>
    <definedName name="wskakunin_dairi5_SIKAKU__label">DATA!$D$269</definedName>
    <definedName name="wskakunin_dairi5_TEL">DATA!$D$281</definedName>
    <definedName name="wskakunin_dairi5_TOUROKU_KIKAN__label">DATA!$D$270</definedName>
    <definedName name="wskakunin_dairi5_ZIP">DATA!$D$279</definedName>
    <definedName name="wskakunin_DOURO_FUKUIN">DATA!$D$935</definedName>
    <definedName name="wskakunin_DOURO_NAGASA">DATA!$D$936</definedName>
    <definedName name="wskakunin_ecotekihan01_FUYOU_CAUSE">DATA!$D$872</definedName>
    <definedName name="wskakunin_ecotekihan01_TEKIHAN_KIKAN_ADDRESS">DATA!$D$868</definedName>
    <definedName name="wskakunin_ecotekihan01_TEKIHAN_KIKAN_KEN__ken">DATA!$D$867</definedName>
    <definedName name="wskakunin_ecotekihan01_TEKIHAN_KIKAN_NAME">DATA!$D$866</definedName>
    <definedName name="wskakunin_ecotekihan01_TEKIHAN_STATE">DATA!$D$862</definedName>
    <definedName name="wskakunin_gaiyou1_EV_KIND">DATA!$D$1007</definedName>
    <definedName name="wskakunin_gaiyou1_KOUJI_KAITIKU">DATA!$D$994</definedName>
    <definedName name="wskakunin_gaiyou1_KOUJI_SINTIKU">DATA!$D$992</definedName>
    <definedName name="wskakunin_gaiyou1_KOUJI_SONOTA">DATA!$D$995</definedName>
    <definedName name="wskakunin_gaiyou1_KOUJI_SONOTA_TEXT">DATA!$D$996</definedName>
    <definedName name="wskakunin_gaiyou1_KOUJI_ZOUTIKU">DATA!$D$993</definedName>
    <definedName name="wskakunin_gaiyou1_KOUZOU">DATA!$D$991</definedName>
    <definedName name="wskakunin_gaiyou1_NINSYOU_NO">DATA!$D$1013</definedName>
    <definedName name="wskakunin_gaiyou1_NO">DATA!$D$1006</definedName>
    <definedName name="wskakunin_gaiyou1_SEKISAI">DATA!$D$1009</definedName>
    <definedName name="wskakunin_gaiyou1_SONOTA">DATA!$D$1012</definedName>
    <definedName name="wskakunin_gaiyou1_SONOTA_and_NINSYOU_NO">DATA!$D$1014</definedName>
    <definedName name="wskakunin_gaiyou1_SPEED">DATA!$D$1011</definedName>
    <definedName name="wskakunin_gaiyou1_TAKASA">DATA!$D$990</definedName>
    <definedName name="wskakunin_gaiyou1_TEIIN">DATA!$D$1010</definedName>
    <definedName name="wskakunin_gaiyou1_TIKUZOU_MENSEKI_IGAI">DATA!$D$999</definedName>
    <definedName name="wskakunin_gaiyou1_TIKUZOU_MENSEKI_SHINSEI">DATA!$D$998</definedName>
    <definedName name="wskakunin_gaiyou1_TIKUZOU_MENSEKI_TOTAL">DATA!$D$1000</definedName>
    <definedName name="wskakunin_gaiyou1_WORK_COUNT_IGAI">DATA!$D$1002</definedName>
    <definedName name="wskakunin_gaiyou1_WORK_COUNT_SHINSEI">DATA!$D$1001</definedName>
    <definedName name="wskakunin_gaiyou1_WORK_COUNT_TOTAL">DATA!$D$1003</definedName>
    <definedName name="wskakunin_gaiyou1_WORK_SYURUI">DATA!$D$989</definedName>
    <definedName name="wskakunin_gaiyou1_WORK_SYURUI_CODE">DATA!$D$988</definedName>
    <definedName name="wskakunin_gaiyou1_YOUTO">DATA!$D$1008</definedName>
    <definedName name="wskakunin_iken1__address">DATA!$D$543</definedName>
    <definedName name="wskakunin_iken1_DOC">DATA!$D$546</definedName>
    <definedName name="wskakunin_iken1_IKEN_NO">DATA!$D$545</definedName>
    <definedName name="wskakunin_iken1_JIMU_NAME">DATA!$D$541</definedName>
    <definedName name="wskakunin_iken1_NAME">DATA!$D$540</definedName>
    <definedName name="wskakunin_iken1_TEL">DATA!$D$544</definedName>
    <definedName name="wskakunin_iken1_ZIP">DATA!$D$542</definedName>
    <definedName name="wskakunin_iken2__address">DATA!$D$552</definedName>
    <definedName name="wskakunin_iken2_DOC">DATA!$D$555</definedName>
    <definedName name="wskakunin_iken2_IKEN_NO">DATA!$D$554</definedName>
    <definedName name="wskakunin_iken2_JIMU_NAME">DATA!$D$550</definedName>
    <definedName name="wskakunin_iken2_NAME">DATA!$D$549</definedName>
    <definedName name="wskakunin_iken2_TEL">DATA!$D$553</definedName>
    <definedName name="wskakunin_iken2_ZIP">DATA!$D$551</definedName>
    <definedName name="wskakunin_iken3__address">DATA!$D$561</definedName>
    <definedName name="wskakunin_iken3_DOC">DATA!$D$564</definedName>
    <definedName name="wskakunin_iken3_IKEN_NO">DATA!$D$563</definedName>
    <definedName name="wskakunin_iken3_JIMU_NAME">DATA!$D$559</definedName>
    <definedName name="wskakunin_iken3_NAME">DATA!$D$558</definedName>
    <definedName name="wskakunin_iken3_TEL">DATA!$D$562</definedName>
    <definedName name="wskakunin_iken3_ZIP">DATA!$D$560</definedName>
    <definedName name="wskakunin_iken4__address">DATA!$D$570</definedName>
    <definedName name="wskakunin_iken4_DOC">DATA!$D$573</definedName>
    <definedName name="wskakunin_iken4_IKEN_NO">DATA!$D$572</definedName>
    <definedName name="wskakunin_iken4_JIMU_NAME">DATA!$D$568</definedName>
    <definedName name="wskakunin_iken4_NAME">DATA!$D$567</definedName>
    <definedName name="wskakunin_iken4_TEL">DATA!$D$571</definedName>
    <definedName name="wskakunin_iken4_ZIP">DATA!$D$569</definedName>
    <definedName name="wskakunin_iken5__address">DATA!$D$578</definedName>
    <definedName name="wskakunin_iken5_DOC">DATA!$D$581</definedName>
    <definedName name="wskakunin_iken5_IKEN_NO">DATA!$D$580</definedName>
    <definedName name="wskakunin_iken5_JIMU_NAME">DATA!$D$576</definedName>
    <definedName name="wskakunin_iken5_NAME">DATA!$D$575</definedName>
    <definedName name="wskakunin_iken5_TEL">DATA!$D$579</definedName>
    <definedName name="wskakunin_iken5_ZIP">DATA!$D$577</definedName>
    <definedName name="wskakunin_KAISU_TIJYOU_SHINSEI">DATA!$D$1098</definedName>
    <definedName name="wskakunin_KAISU_TIJYOU_SONOTA">DATA!$D$1099</definedName>
    <definedName name="wskakunin_KAISU_TIKA_SHINSEI__zero">DATA!$D$1101</definedName>
    <definedName name="wskakunin_KAISU_TIKA_SONOTA">DATA!$D$1102</definedName>
    <definedName name="wskakunin_kanri1__address">DATA!$D$596</definedName>
    <definedName name="wskakunin_kanri1__sikaku">DATA!$D$584</definedName>
    <definedName name="wskakunin_kanri1_DOC">DATA!$D$599</definedName>
    <definedName name="wskakunin_kanri1_JIMU__sikaku">DATA!$D$589</definedName>
    <definedName name="wskakunin_kanri1_JIMU_NAME">DATA!$D$593</definedName>
    <definedName name="wskakunin_kanri1_JIMU_NO">DATA!$D$592</definedName>
    <definedName name="wskakunin_kanri1_JIMU_SIKAKU__label">DATA!$D$590</definedName>
    <definedName name="wskakunin_kanri1_JIMU_TOUROKU_KIKAN__label">DATA!$D$591</definedName>
    <definedName name="wskakunin_kanri1_KENTIKUSI_NO">DATA!$D$587</definedName>
    <definedName name="wskakunin_kanri1_NAME">DATA!$D$588</definedName>
    <definedName name="wskakunin_kanri1_SIKAKU__label">DATA!$D$585</definedName>
    <definedName name="wskakunin_kanri1_TEL">DATA!$D$597</definedName>
    <definedName name="wskakunin_kanri1_TOUROKU_KIKAN__label">DATA!$D$586</definedName>
    <definedName name="wskakunin_kanri1_ZIP">DATA!$D$594</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DATA!$D$1298</definedName>
    <definedName name="wskakunin_keibi_henkou01_HENKOU_SYURUI">DATA!$D$1297</definedName>
    <definedName name="wskakunin_KENPEI_RITU">DATA!$D$1020</definedName>
    <definedName name="wskakunin_KENPEI_RITU_A">DATA!$D$959</definedName>
    <definedName name="wskakunin_KENPEI_RITU_B">DATA!$D$960</definedName>
    <definedName name="wskakunin_KENPEI_RITU_C">DATA!$D$961</definedName>
    <definedName name="wskakunin_KENPEI_RITU_D">DATA!$D$962</definedName>
    <definedName name="wskakunin_KENSA_YUKA_MENSEKI">DATA!$D$1206</definedName>
    <definedName name="wskakunin_KENTIKU_MENSEKI_IGAI">DATA!$D$1018</definedName>
    <definedName name="wskakunin_KENTIKU_MENSEKI_SHINSEI">DATA!$D$1017</definedName>
    <definedName name="wskakunin_KENTIKU_MENSEKI_TOTAL">DATA!$D$1019</definedName>
    <definedName name="wskakunin_KENTIKU_NINSYO_NO">DATA!$D$1194</definedName>
    <definedName name="wskakunin_KIKAN_NAME">DATA!$D$56</definedName>
    <definedName name="wskakunin_KOUJI_DAI_MOYOUGAE">DATA!$D$983</definedName>
    <definedName name="wskakunin_KOUJI_DAI_SYUUZEN">DATA!$D$982</definedName>
    <definedName name="wskakunin_KOUJI_ITEN">DATA!$D$980</definedName>
    <definedName name="wskakunin_KOUJI_KAITIKU">DATA!$D$979</definedName>
    <definedName name="wskakunin_KOUJI_KANRYOU_DATE">DATA!$D$1301</definedName>
    <definedName name="wskakunin_KOUJI_KANRYOU_YOTEI_DATE">DATA!$D$1148</definedName>
    <definedName name="wskakunin_KOUJI_SINTIKU">DATA!$D$977</definedName>
    <definedName name="wskakunin_KOUJI_TYAKUSYU_DATE">DATA!$D$1196</definedName>
    <definedName name="wskakunin_KOUJI_TYAKUSYU_YOTEI_DATE">DATA!$D$1146</definedName>
    <definedName name="wskakunin_KOUJI_YOUTOHENKOU">DATA!$D$981</definedName>
    <definedName name="wskakunin_KOUJI_ZOUTIKU">DATA!$D$978</definedName>
    <definedName name="wskakunin_koutei_ikou01_KOUTEI_DATE">DATA!$D$1269</definedName>
    <definedName name="wskakunin_koutei_ikou01_KOUTEI_KAISUU">DATA!$D$1267</definedName>
    <definedName name="wskakunin_koutei_ikou01_KOUTEI_TEXT">DATA!$D$1268</definedName>
    <definedName name="wskakunin_koutei_ikou02_KOUTEI_DATE">DATA!$D$1274</definedName>
    <definedName name="wskakunin_koutei_ikou02_KOUTEI_KAISUU">DATA!$D$1272</definedName>
    <definedName name="wskakunin_koutei_ikou02_KOUTEI_TEXT">DATA!$D$1273</definedName>
    <definedName name="wskakunin_koutei_izen01_INTER_ISSUE_DATE">DATA!$D$1214</definedName>
    <definedName name="wskakunin_koutei_izen01_INTER_ISSUE_NAME">DATA!$D$1212</definedName>
    <definedName name="wskakunin_koutei_izen01_INTER_ISSUE_NO">DATA!$D$1213</definedName>
    <definedName name="wskakunin_koutei_izen01_KOUTEI_KAISUU">DATA!$D$1210</definedName>
    <definedName name="wskakunin_koutei_izen01_KOUTEI_TEXT">DATA!$D$1211</definedName>
    <definedName name="wskakunin_koutei_izen02_INTER_ISSUE_DATE">DATA!$D$1221</definedName>
    <definedName name="wskakunin_koutei_izen02_INTER_ISSUE_NAME">DATA!$D$1219</definedName>
    <definedName name="wskakunin_koutei_izen02_INTER_ISSUE_NO">DATA!$D$1220</definedName>
    <definedName name="wskakunin_koutei_izen02_KOUTEI_KAISUU">DATA!$D$1217</definedName>
    <definedName name="wskakunin_koutei_izen02_KOUTEI_TEXT">DATA!$D$1218</definedName>
    <definedName name="wskakunin_koutei_izen03_INTER_ISSUE_DATE">DATA!$D$1228</definedName>
    <definedName name="wskakunin_koutei_izen03_INTER_ISSUE_NAME">DATA!$D$1226</definedName>
    <definedName name="wskakunin_koutei_izen03_INTER_ISSUE_NO">DATA!$D$1227</definedName>
    <definedName name="wskakunin_koutei_izen03_KOUTEI_KAISUU">DATA!$D$1224</definedName>
    <definedName name="wskakunin_koutei_izen03_KOUTEI_TEXT">DATA!$D$1225</definedName>
    <definedName name="wskakunin_koutei_izen04_INTER_ISSUE_DATE">DATA!$D$1235</definedName>
    <definedName name="wskakunin_koutei_izen04_INTER_ISSUE_NAME">DATA!$D$1233</definedName>
    <definedName name="wskakunin_koutei_izen04_INTER_ISSUE_NO">DATA!$D$1234</definedName>
    <definedName name="wskakunin_koutei_izen04_KOUTEI_KAISUU">DATA!$D$1231</definedName>
    <definedName name="wskakunin_koutei_izen04_KOUTEI_TEXT">DATA!$D$1232</definedName>
    <definedName name="wskakunin_koutei01_INTER_ISSUE_DATE">DATA!$D$1308</definedName>
    <definedName name="wskakunin_koutei01_INTER_ISSUE_NAME">DATA!$D$1306</definedName>
    <definedName name="wskakunin_koutei01_INTER_ISSUE_NO">DATA!$D$1307</definedName>
    <definedName name="wskakunin_koutei01_KOUTEI_DATE">DATA!$D$1157</definedName>
    <definedName name="wskakunin_koutei01_KOUTEI_KAISUU">DATA!$D$1156</definedName>
    <definedName name="wskakunin_koutei01_KOUTEI_TEXT">DATA!$D$1158</definedName>
    <definedName name="wskakunin_koutei02_INTER_ISSUE_DATE">DATA!$D$1322</definedName>
    <definedName name="wskakunin_koutei02_INTER_ISSUE_NAME">DATA!$D$1320</definedName>
    <definedName name="wskakunin_koutei02_INTER_ISSUE_NO">DATA!$D$1321</definedName>
    <definedName name="wskakunin_koutei02_KOUTEI_DATE">DATA!$D$1162</definedName>
    <definedName name="wskakunin_koutei02_KOUTEI_KAISUU">DATA!$D$1161</definedName>
    <definedName name="wskakunin_koutei02_KOUTEI_TEXT">DATA!$D$1163</definedName>
    <definedName name="wskakunin_koutei03_KOUTEI_DATE">DATA!$D$1167</definedName>
    <definedName name="wskakunin_koutei03_KOUTEI_KAISUU">DATA!$D$1166</definedName>
    <definedName name="wskakunin_koutei03_KOUTEI_TEXT">DATA!$D$1168</definedName>
    <definedName name="wskakunin_koutei04_KOUTEI_DATE">DATA!$D$1172</definedName>
    <definedName name="wskakunin_koutei04_KOUTEI_KAISUU">DATA!$D$1171</definedName>
    <definedName name="wskakunin_koutei04_KOUTEI_TEXT">DATA!$D$1173</definedName>
    <definedName name="wskakunin_KOUZOU1">DATA!$D$1104</definedName>
    <definedName name="wskakunin_KOUZOU2">DATA!$D$1105</definedName>
    <definedName name="wskakunin_KUIKI_HISETTEI">DATA!$D$922</definedName>
    <definedName name="wskakunin_KUIKI_JYUN_TOSHI">DATA!$D$923</definedName>
    <definedName name="wskakunin_KUIKI_KUIKIGAI">DATA!$D$924</definedName>
    <definedName name="wskakunin_KUIKI_SIGAIKA">DATA!$D$919</definedName>
    <definedName name="wskakunin_KUIKI_TOSI">DATA!$D$916</definedName>
    <definedName name="wskakunin_KUIKI_TYOSEI">DATA!$D$921</definedName>
    <definedName name="wskakunin_kyoka01_">DATA!$D$1120</definedName>
    <definedName name="wskakunin_kyoka01_BIKOU">DATA!$D$1125</definedName>
    <definedName name="wskakunin_kyoka01_HOUREI">DATA!$D$1121</definedName>
    <definedName name="wskakunin_kyoka01_JOUKOU">DATA!$D$1122</definedName>
    <definedName name="wskakunin_kyoka01_KYOKA_DATE">DATA!$D$1124</definedName>
    <definedName name="wskakunin_kyoka01_KYOKA_NO">DATA!$D$1123</definedName>
    <definedName name="wskakunin_kyoka02_BIKOU">DATA!$D$1133</definedName>
    <definedName name="wskakunin_kyoka02_HOUREI">DATA!$D$1129</definedName>
    <definedName name="wskakunin_kyoka02_JOUKOU">DATA!$D$1130</definedName>
    <definedName name="wskakunin_kyoka02_KYOKA_DATE">DATA!$D$1132</definedName>
    <definedName name="wskakunin_kyoka02_KYOKA_NO">DATA!$D$1131</definedName>
    <definedName name="wskakunin_kyoka03_BIKOU">DATA!$D$1141</definedName>
    <definedName name="wskakunin_kyoka03_HOUREI">DATA!$D$1137</definedName>
    <definedName name="wskakunin_kyoka03_JOUKOU">DATA!$D$1138</definedName>
    <definedName name="wskakunin_kyoka03_KYOKA_DATE">DATA!$D$1140</definedName>
    <definedName name="wskakunin_kyoka03_KYOKA_NO">DATA!$D$1139</definedName>
    <definedName name="wskakunin_LAST_ISSUE_DATE">DATA!$D$61</definedName>
    <definedName name="wskakunin_LAST_ISSUE_NAME">DATA!$D$62</definedName>
    <definedName name="wskakunin_LAST_ISSUE_NO">DATA!$D$60</definedName>
    <definedName name="wskakunin_LIMIT_KENPEI_RITU">DATA!$D$967</definedName>
    <definedName name="wskakunin_LIMIT_YOUSEKI_RITU">DATA!$D$966</definedName>
    <definedName name="wskakunin_NOBE_MENSEKI">DATA!$D$1084</definedName>
    <definedName name="wskakunin_NOBE_MENSEKI_BITIKUSOUKO_IGAI">DATA!$D$1050</definedName>
    <definedName name="wskakunin_NOBE_MENSEKI_BITIKUSOUKO_SHINSEI">DATA!$D$1049</definedName>
    <definedName name="wskakunin_NOBE_MENSEKI_BITIKUSOUKO_TOTAL">DATA!$D$1051</definedName>
    <definedName name="wskakunin_NOBE_MENSEKI_BUILD_IGAI">DATA!$D$1025</definedName>
    <definedName name="wskakunin_NOBE_MENSEKI_BUILD_SHINSEI">DATA!$D$1024</definedName>
    <definedName name="wskakunin_NOBE_MENSEKI_BUILD_TOTAL">DATA!$D$1026</definedName>
    <definedName name="wskakunin_NOBE_MENSEKI_CHOSUISOU_IGAI">DATA!$D$1065</definedName>
    <definedName name="wskakunin_NOBE_MENSEKI_CHOSUISOU_SHINSEI">DATA!$D$1064</definedName>
    <definedName name="wskakunin_NOBE_MENSEKI_CHOSUISOU_TOTAL">DATA!$D$1066</definedName>
    <definedName name="wskakunin_NOBE_MENSEKI_JIKAHATUDEN_IGAI">DATA!$D$1060</definedName>
    <definedName name="wskakunin_NOBE_MENSEKI_JIKAHATUDEN_SHINSEI">DATA!$D$1059</definedName>
    <definedName name="wskakunin_NOBE_MENSEKI_JIKAHATUDEN_TOTAL">DATA!$D$1061</definedName>
    <definedName name="wskakunin_NOBE_MENSEKI_JYUTAKU_IGAI">DATA!$D$1075</definedName>
    <definedName name="wskakunin_NOBE_MENSEKI_JYUTAKU_SHINSEI">DATA!$D$1074</definedName>
    <definedName name="wskakunin_NOBE_MENSEKI_JYUTAKU_TOTAL">DATA!$D$1076</definedName>
    <definedName name="wskakunin_NOBE_MENSEKI_KYOYOU_IGAI">DATA!$D$1040</definedName>
    <definedName name="wskakunin_NOBE_MENSEKI_KYOYOU_SHINSEI">DATA!$D$1039</definedName>
    <definedName name="wskakunin_NOBE_MENSEKI_KYOYOU_TOTAL">DATA!$D$1041</definedName>
    <definedName name="wskakunin_NOBE_MENSEKI_ROUJIN_IGAI">DATA!$D$1080</definedName>
    <definedName name="wskakunin_NOBE_MENSEKI_ROUJIN_SHINSEI">DATA!$D$1079</definedName>
    <definedName name="wskakunin_NOBE_MENSEKI_ROUJIN_TOTAL">DATA!$D$1081</definedName>
    <definedName name="wskakunin_NOBE_MENSEKI_SYAKO_IGAI">DATA!$D$1045</definedName>
    <definedName name="wskakunin_NOBE_MENSEKI_SYAKO_SHINSEI">DATA!$D$1044</definedName>
    <definedName name="wskakunin_NOBE_MENSEKI_SYAKO_TOTAL">DATA!$D$1046</definedName>
    <definedName name="wskakunin_NOBE_MENSEKI_SYOUKOURO_IGAI">DATA!$D$1035</definedName>
    <definedName name="wskakunin_NOBE_MENSEKI_SYOUKOURO_SHINSEI">DATA!$D$1034</definedName>
    <definedName name="wskakunin_NOBE_MENSEKI_SYOUKOURO_TOTAL">DATA!$D$1036</definedName>
    <definedName name="wskakunin_NOBE_MENSEKI_TAKUHAI_IGAI">DATA!$D$1070</definedName>
    <definedName name="wskakunin_NOBE_MENSEKI_TAKUHAI_SHINSEI">DATA!$D$1069</definedName>
    <definedName name="wskakunin_NOBE_MENSEKI_TAKUHAI_TOTAL">DATA!$D$1071</definedName>
    <definedName name="wskakunin_NOBE_MENSEKI_TIKAI_IGAI">DATA!$D$1030</definedName>
    <definedName name="wskakunin_NOBE_MENSEKI_TIKAI_SHINSEI">DATA!$D$1029</definedName>
    <definedName name="wskakunin_NOBE_MENSEKI_TIKAI_TOTAL">DATA!$D$1031</definedName>
    <definedName name="wskakunin_NOBE_MENSEKI_TIKUDENTI_IGAI">DATA!$D$1055</definedName>
    <definedName name="wskakunin_NOBE_MENSEKI_TIKUDENTI_SHINSEI">DATA!$D$1054</definedName>
    <definedName name="wskakunin_NOBE_MENSEKI_TIKUDENTI_TOTAL">DATA!$D$1056</definedName>
    <definedName name="wskakunin_owner1__address">DATA!$D$86</definedName>
    <definedName name="wskakunin_owner1_JIMU_NAME">DATA!$D$76</definedName>
    <definedName name="wskakunin_owner1_JIMU_NAME_KANA">DATA!$D$77</definedName>
    <definedName name="wskakunin_owner1_NAME">DATA!$D$80</definedName>
    <definedName name="wskakunin_owner1_NAME_KANA">DATA!$D$81</definedName>
    <definedName name="wskakunin_owner1_POST">DATA!$D$78</definedName>
    <definedName name="wskakunin_owner1_POST_KANA">DATA!$D$79</definedName>
    <definedName name="wskakunin_owner1_TEL">DATA!$D$87</definedName>
    <definedName name="wskakunin_owner1_ZIP">DATA!$D$84</definedName>
    <definedName name="wskakunin_owner2__address">DATA!$D$104</definedName>
    <definedName name="wskakunin_owner2_JIMU_NAME">DATA!$D$97</definedName>
    <definedName name="wskakunin_owner2_JIMU_NAME_KANA">DATA!$D$98</definedName>
    <definedName name="wskakunin_owner2_NAME">DATA!$D$101</definedName>
    <definedName name="wskakunin_owner2_NAME_KANA">DATA!$D$102</definedName>
    <definedName name="wskakunin_owner2_POST">DATA!$D$99</definedName>
    <definedName name="wskakunin_owner2_POST_KANA">DATA!$D$100</definedName>
    <definedName name="wskakunin_owner2_TEL">DATA!$D$105</definedName>
    <definedName name="wskakunin_owner2_ZIP">DATA!$D$103</definedName>
    <definedName name="wskakunin_owner3__address">DATA!$D$118</definedName>
    <definedName name="wskakunin_owner3_JIMU_NAME">DATA!$D$111</definedName>
    <definedName name="wskakunin_owner3_JIMU_NAME_KANA">DATA!$D$112</definedName>
    <definedName name="wskakunin_owner3_NAME">DATA!$D$115</definedName>
    <definedName name="wskakunin_owner3_NAME_KANA">DATA!$D$116</definedName>
    <definedName name="wskakunin_owner3_POST">DATA!$D$113</definedName>
    <definedName name="wskakunin_owner3_POST_KANA">DATA!$D$114</definedName>
    <definedName name="wskakunin_owner3_TEL">DATA!$D$119</definedName>
    <definedName name="wskakunin_owner3_ZIP">DATA!$D$117</definedName>
    <definedName name="wskakunin_owner4__address">DATA!$D$131</definedName>
    <definedName name="wskakunin_owner4_JIMU_NAME">DATA!$D$124</definedName>
    <definedName name="wskakunin_owner4_JIMU_NAME_KANA">DATA!$D$125</definedName>
    <definedName name="wskakunin_owner4_NAME">DATA!$D$128</definedName>
    <definedName name="wskakunin_owner4_NAME_KANA">DATA!$D$129</definedName>
    <definedName name="wskakunin_owner4_POST">DATA!$D$126</definedName>
    <definedName name="wskakunin_owner4_POST_KANA">DATA!$D$127</definedName>
    <definedName name="wskakunin_owner4_TEL">DATA!$D$132</definedName>
    <definedName name="wskakunin_owner4_ZIP">DATA!$D$130</definedName>
    <definedName name="wskakunin_owner5__address">DATA!$D$143</definedName>
    <definedName name="wskakunin_owner5_JIMU_NAME">DATA!$D$136</definedName>
    <definedName name="wskakunin_owner5_JIMU_NAME_KANA">DATA!$D$137</definedName>
    <definedName name="wskakunin_owner5_NAME">DATA!$D$140</definedName>
    <definedName name="wskakunin_owner5_NAME_KANA">DATA!$D$141</definedName>
    <definedName name="wskakunin_owner5_POST">DATA!$D$138</definedName>
    <definedName name="wskakunin_owner5_POST_KANA">DATA!$D$139</definedName>
    <definedName name="wskakunin_owner5_TEL">DATA!$D$144</definedName>
    <definedName name="wskakunin_owner5_ZIP">DATA!$D$142</definedName>
    <definedName name="wskakunin_owner6__address">DATA!$D$155</definedName>
    <definedName name="wskakunin_owner6_JIMU_NAME">DATA!$D$148</definedName>
    <definedName name="wskakunin_owner6_JIMU_NAME_KANA">DATA!$D$149</definedName>
    <definedName name="wskakunin_owner6_NAME">DATA!$D$152</definedName>
    <definedName name="wskakunin_owner6_NAME_KANA">DATA!$D$153</definedName>
    <definedName name="wskakunin_owner6_POST">DATA!$D$150</definedName>
    <definedName name="wskakunin_owner6_POST_KANA">DATA!$D$151</definedName>
    <definedName name="wskakunin_owner6_TEL">DATA!$D$156</definedName>
    <definedName name="wskakunin_owner6_ZIP">DATA!$D$154</definedName>
    <definedName name="wskakunin_owner7__address">DATA!$D$167</definedName>
    <definedName name="wskakunin_owner7_JIMU_NAME">DATA!$D$160</definedName>
    <definedName name="wskakunin_owner7_JIMU_NAME_KANA">DATA!$D$161</definedName>
    <definedName name="wskakunin_owner7_NAME">DATA!$D$164</definedName>
    <definedName name="wskakunin_owner7_NAME_KANA">DATA!$D$165</definedName>
    <definedName name="wskakunin_owner7_POST">DATA!$D$162</definedName>
    <definedName name="wskakunin_owner7_POST_KANA">DATA!$D$163</definedName>
    <definedName name="wskakunin_owner7_TEL">DATA!$D$168</definedName>
    <definedName name="wskakunin_owner7_ZIP">DATA!$D$166</definedName>
    <definedName name="wskakunin_owner8__address">DATA!$D$178</definedName>
    <definedName name="wskakunin_owner8_JIMU_NAME">DATA!$D$171</definedName>
    <definedName name="wskakunin_owner8_JIMU_NAME_KANA">DATA!$D$172</definedName>
    <definedName name="wskakunin_owner8_NAME">DATA!$D$175</definedName>
    <definedName name="wskakunin_owner8_NAME_KANA">DATA!$D$176</definedName>
    <definedName name="wskakunin_owner8_POST">DATA!$D$173</definedName>
    <definedName name="wskakunin_owner8_POST_KANA">DATA!$D$174</definedName>
    <definedName name="wskakunin_owner8_TEL">DATA!$D$179</definedName>
    <definedName name="wskakunin_owner8_ZIP">DATA!$D$177</definedName>
    <definedName name="wskakunin_owner9__address">DATA!$D$189</definedName>
    <definedName name="wskakunin_owner9_JIMU_NAME">DATA!$D$182</definedName>
    <definedName name="wskakunin_owner9_JIMU_NAME_KANA">DATA!$D$183</definedName>
    <definedName name="wskakunin_owner9_NAME">DATA!$D$186</definedName>
    <definedName name="wskakunin_owner9_NAME_KANA">DATA!$D$187</definedName>
    <definedName name="wskakunin_owner9_POST">DATA!$D$184</definedName>
    <definedName name="wskakunin_owner9_POST_KANA">DATA!$D$185</definedName>
    <definedName name="wskakunin_owner9_TEL">DATA!$D$190</definedName>
    <definedName name="wskakunin_owner9_ZIP">DATA!$D$188</definedName>
    <definedName name="wskakunin_P1_HENKOU_GAIYOU">DATA!$D$63</definedName>
    <definedName name="wskakunin_P2_BIKOU">DATA!$D$844</definedName>
    <definedName name="wskakunin_P3_BIKOU">DATA!$D$1181</definedName>
    <definedName name="wskakunin_P3_SONOTA">DATA!$D$1179</definedName>
    <definedName name="wskakunin_p4_1__kouji">DATA!$D$885</definedName>
    <definedName name="wskakunin_p4_1_KAISU_TIKAI">DATA!$D$887</definedName>
    <definedName name="wskakunin_p4_1_KAISU_TIKAI_NOZOKU">DATA!$D$886</definedName>
    <definedName name="wskakunin_p4_1_KAISU_YUKA_MENSEKI_SHINSEI">DATA!$D$892</definedName>
    <definedName name="wskakunin_p4_1_KOUZOU1">DATA!$D$888</definedName>
    <definedName name="wskakunin_p4_1_KOUZOU2">DATA!$D$889</definedName>
    <definedName name="wskakunin_p4_1_p5_1_KAI">DATA!$D$897</definedName>
    <definedName name="wskakunin_p4_1_p5_1_P4_MENSEKI_SHINSEI">DATA!$D$898</definedName>
    <definedName name="wskakunin_p4_1_p5_2_KAI">DATA!$D$899</definedName>
    <definedName name="wskakunin_p4_1_p5_2_P4_MENSEKI_SHINSEI">DATA!$D$900</definedName>
    <definedName name="wskakunin_p4_1_p5_3_KAI">DATA!$D$901</definedName>
    <definedName name="wskakunin_p4_1_p5_3_P4_MENSEKI_SHINSEI">DATA!$D$902</definedName>
    <definedName name="wskakunin_p4_1_TAKASA_KEN_MAX">DATA!$D$891</definedName>
    <definedName name="wskakunin_p4_1_TAKASA_MAX">DATA!$D$890</definedName>
    <definedName name="wskakunin_p4_1_TOKUREI_KAKUNIN_FLAG">DATA!$D$893</definedName>
    <definedName name="wskakunin_p4_1_youto1_YOUTO">DATA!$D$876</definedName>
    <definedName name="wskakunin_p4_1_youto1_YOUTO_CODE">DATA!$D$877</definedName>
    <definedName name="wskakunin_PAGE1_ALTERATION_NOTE">DATA!$D$70</definedName>
    <definedName name="wskakunin_sekkei1__address">DATA!$D$298</definedName>
    <definedName name="wskakunin_sekkei1__sikaku">DATA!$D$286</definedName>
    <definedName name="wskakunin_sekkei1_DOC">DATA!$D$300</definedName>
    <definedName name="wskakunin_sekkei1_JIMU__sikaku">DATA!$D$291</definedName>
    <definedName name="wskakunin_sekkei1_JIMU_NAME">DATA!$D$295</definedName>
    <definedName name="wskakunin_sekkei1_JIMU_NO">DATA!$D$294</definedName>
    <definedName name="wskakunin_sekkei1_JIMU_SIKAKU__label">DATA!$D$292</definedName>
    <definedName name="wskakunin_sekkei1_JIMU_TOUROKU_KIKAN__label">DATA!$D$293</definedName>
    <definedName name="wskakunin_sekkei1_KENTIKUSI_NO">DATA!$D$289</definedName>
    <definedName name="wskakunin_sekkei1_NAME">DATA!$D$290</definedName>
    <definedName name="wskakunin_sekkei1_SIKAKU__label">DATA!$D$287</definedName>
    <definedName name="wskakunin_sekkei1_TEL">DATA!$D$299</definedName>
    <definedName name="wskakunin_sekkei1_TOUROKU_KIKAN__label">DATA!$D$288</definedName>
    <definedName name="wskakunin_sekkei1_ZIP">DATA!$D$297</definedName>
    <definedName name="wskakunin_sekkei10__address">DATA!$D$451</definedName>
    <definedName name="wskakunin_sekkei10__sikaku">DATA!$D$439</definedName>
    <definedName name="wskakunin_sekkei10_DOC">DATA!$D$453</definedName>
    <definedName name="wskakunin_sekkei10_JIMU__sikaku">DATA!$D$444</definedName>
    <definedName name="wskakunin_sekkei10_JIMU_NAME">DATA!$D$448</definedName>
    <definedName name="wskakunin_sekkei10_JIMU_NO">DATA!$D$447</definedName>
    <definedName name="wskakunin_sekkei10_JIMU_SIKAKU__label">DATA!$D$445</definedName>
    <definedName name="wskakunin_sekkei10_JIMU_TOUROKU_KIKAN__label">DATA!$D$446</definedName>
    <definedName name="wskakunin_sekkei10_KENTIKUSI_NO">DATA!$D$442</definedName>
    <definedName name="wskakunin_sekkei10_NAME">DATA!$D$443</definedName>
    <definedName name="wskakunin_sekkei10_SIKAKU__label">DATA!$D$440</definedName>
    <definedName name="wskakunin_sekkei10_TEL">DATA!$D$452</definedName>
    <definedName name="wskakunin_sekkei10_TOUROKU_KIKAN__label">DATA!$D$441</definedName>
    <definedName name="wskakunin_sekkei10_ZIP">DATA!$D$450</definedName>
    <definedName name="wskakunin_sekkei11__address">DATA!$D$468</definedName>
    <definedName name="wskakunin_sekkei11__sikaku">DATA!$D$456</definedName>
    <definedName name="wskakunin_sekkei11_DOC">DATA!$D$470</definedName>
    <definedName name="wskakunin_sekkei11_JIMU__sikaku">DATA!$D$461</definedName>
    <definedName name="wskakunin_sekkei11_JIMU_NAME">DATA!$D$465</definedName>
    <definedName name="wskakunin_sekkei11_JIMU_NO">DATA!$D$464</definedName>
    <definedName name="wskakunin_sekkei11_JIMU_SIKAKU__label">DATA!$D$462</definedName>
    <definedName name="wskakunin_sekkei11_JIMU_TOUROKU_KIKAN__label">DATA!$D$463</definedName>
    <definedName name="wskakunin_sekkei11_KENTIKUSI_NO">DATA!$D$459</definedName>
    <definedName name="wskakunin_sekkei11_NAME">DATA!$D$460</definedName>
    <definedName name="wskakunin_sekkei11_SIKAKU__label">DATA!$D$457</definedName>
    <definedName name="wskakunin_sekkei11_TEL">DATA!$D$469</definedName>
    <definedName name="wskakunin_sekkei11_TOUROKU_KIKAN__label">DATA!$D$458</definedName>
    <definedName name="wskakunin_sekkei11_ZIP">DATA!$D$467</definedName>
    <definedName name="wskakunin_sekkei12__address">DATA!$D$485</definedName>
    <definedName name="wskakunin_sekkei12__sikaku">DATA!$D$473</definedName>
    <definedName name="wskakunin_sekkei12_DOC">DATA!$D$487</definedName>
    <definedName name="wskakunin_sekkei12_JIMU__sikaku">DATA!$D$478</definedName>
    <definedName name="wskakunin_sekkei12_JIMU_NAME">DATA!$D$482</definedName>
    <definedName name="wskakunin_sekkei12_JIMU_NO">DATA!$D$481</definedName>
    <definedName name="wskakunin_sekkei12_JIMU_SIKAKU__label">DATA!$D$479</definedName>
    <definedName name="wskakunin_sekkei12_JIMU_TOUROKU_KIKAN__label">DATA!$D$480</definedName>
    <definedName name="wskakunin_sekkei12_KENTIKUSI_NO">DATA!$D$476</definedName>
    <definedName name="wskakunin_sekkei12_NAME">DATA!$D$477</definedName>
    <definedName name="wskakunin_sekkei12_SIKAKU__label">DATA!$D$474</definedName>
    <definedName name="wskakunin_sekkei12_TEL">DATA!$D$486</definedName>
    <definedName name="wskakunin_sekkei12_TOUROKU_KIKAN__label">DATA!$D$475</definedName>
    <definedName name="wskakunin_sekkei12_ZIP">DATA!$D$484</definedName>
    <definedName name="wskakunin_sekkei2__address">DATA!$D$315</definedName>
    <definedName name="wskakunin_sekkei2__sikaku">DATA!$D$303</definedName>
    <definedName name="wskakunin_sekkei2_DOC">DATA!$D$317</definedName>
    <definedName name="wskakunin_sekkei2_JIMU__sikaku">DATA!$D$308</definedName>
    <definedName name="wskakunin_sekkei2_JIMU_NAME">DATA!$D$312</definedName>
    <definedName name="wskakunin_sekkei2_JIMU_NO">DATA!$D$311</definedName>
    <definedName name="wskakunin_sekkei2_JIMU_SIKAKU__label">DATA!$D$309</definedName>
    <definedName name="wskakunin_sekkei2_JIMU_TOUROKU_KIKAN__label">DATA!$D$310</definedName>
    <definedName name="wskakunin_sekkei2_KENTIKUSI_NO">DATA!$D$306</definedName>
    <definedName name="wskakunin_sekkei2_NAME">DATA!$D$307</definedName>
    <definedName name="wskakunin_sekkei2_SIKAKU__label">DATA!$D$304</definedName>
    <definedName name="wskakunin_sekkei2_TEL">DATA!$D$316</definedName>
    <definedName name="wskakunin_sekkei2_TOUROKU_KIKAN__label">DATA!$D$305</definedName>
    <definedName name="wskakunin_sekkei2_ZIP">DATA!$D$314</definedName>
    <definedName name="wskakunin_sekkei3__address">DATA!$D$332</definedName>
    <definedName name="wskakunin_sekkei3__sikaku">DATA!$D$320</definedName>
    <definedName name="wskakunin_sekkei3_DOC">DATA!$D$334</definedName>
    <definedName name="wskakunin_sekkei3_JIMU__sikaku">DATA!$D$325</definedName>
    <definedName name="wskakunin_sekkei3_JIMU_NAME">DATA!$D$329</definedName>
    <definedName name="wskakunin_sekkei3_JIMU_NO">DATA!$D$328</definedName>
    <definedName name="wskakunin_sekkei3_JIMU_SIKAKU__label">DATA!$D$326</definedName>
    <definedName name="wskakunin_sekkei3_JIMU_TOUROKU_KIKAN__label">DATA!$D$327</definedName>
    <definedName name="wskakunin_sekkei3_KENTIKUSI_NO">DATA!$D$323</definedName>
    <definedName name="wskakunin_sekkei3_NAME">DATA!$D$324</definedName>
    <definedName name="wskakunin_sekkei3_SIKAKU__label">DATA!$D$321</definedName>
    <definedName name="wskakunin_sekkei3_TEL">DATA!$D$333</definedName>
    <definedName name="wskakunin_sekkei3_TOUROKU_KIKAN__label">DATA!$D$322</definedName>
    <definedName name="wskakunin_sekkei3_ZIP">DATA!$D$331</definedName>
    <definedName name="wskakunin_sekkei4__address">DATA!$D$349</definedName>
    <definedName name="wskakunin_sekkei4__sikaku">DATA!$D$337</definedName>
    <definedName name="wskakunin_sekkei4_DOC">DATA!$D$351</definedName>
    <definedName name="wskakunin_sekkei4_JIMU__sikaku">DATA!$D$342</definedName>
    <definedName name="wskakunin_sekkei4_JIMU_NAME">DATA!$D$346</definedName>
    <definedName name="wskakunin_sekkei4_JIMU_NO">DATA!$D$345</definedName>
    <definedName name="wskakunin_sekkei4_JIMU_SIKAKU__label">DATA!$D$343</definedName>
    <definedName name="wskakunin_sekkei4_JIMU_TOUROKU_KIKAN__label">DATA!$D$344</definedName>
    <definedName name="wskakunin_sekkei4_KENTIKUSI_NO">DATA!$D$340</definedName>
    <definedName name="wskakunin_sekkei4_NAME">DATA!$D$341</definedName>
    <definedName name="wskakunin_sekkei4_SIKAKU__label">DATA!$D$338</definedName>
    <definedName name="wskakunin_sekkei4_TEL">DATA!$D$350</definedName>
    <definedName name="wskakunin_sekkei4_TOUROKU_KIKAN__label">DATA!$D$339</definedName>
    <definedName name="wskakunin_sekkei4_ZIP">DATA!$D$348</definedName>
    <definedName name="wskakunin_sekkei5__address">DATA!$D$366</definedName>
    <definedName name="wskakunin_sekkei5__sikaku">DATA!$D$354</definedName>
    <definedName name="wskakunin_sekkei5_DOC">DATA!$D$368</definedName>
    <definedName name="wskakunin_sekkei5_JIMU__sikaku">DATA!$D$359</definedName>
    <definedName name="wskakunin_sekkei5_JIMU_NAME">DATA!$D$363</definedName>
    <definedName name="wskakunin_sekkei5_JIMU_NO">DATA!$D$362</definedName>
    <definedName name="wskakunin_sekkei5_JIMU_SIKAKU__label">DATA!$D$360</definedName>
    <definedName name="wskakunin_sekkei5_JIMU_TOUROKU_KIKAN__label">DATA!$D$361</definedName>
    <definedName name="wskakunin_sekkei5_KENTIKUSI_NO">DATA!$D$357</definedName>
    <definedName name="wskakunin_sekkei5_NAME">DATA!$D$358</definedName>
    <definedName name="wskakunin_sekkei5_SIKAKU__label">DATA!$D$355</definedName>
    <definedName name="wskakunin_sekkei5_TEL">DATA!$D$367</definedName>
    <definedName name="wskakunin_sekkei5_TOUROKU_KIKAN__label">DATA!$D$356</definedName>
    <definedName name="wskakunin_sekkei5_ZIP">DATA!$D$365</definedName>
    <definedName name="wskakunin_sekkei6__address">DATA!$D$383</definedName>
    <definedName name="wskakunin_sekkei6__sikaku">DATA!$D$371</definedName>
    <definedName name="wskakunin_sekkei6_DOC">DATA!$D$385</definedName>
    <definedName name="wskakunin_sekkei6_JIMU__sikaku">DATA!$D$376</definedName>
    <definedName name="wskakunin_sekkei6_JIMU_NAME">DATA!$D$380</definedName>
    <definedName name="wskakunin_sekkei6_JIMU_NO">DATA!$D$379</definedName>
    <definedName name="wskakunin_sekkei6_JIMU_SIKAKU__label">DATA!$D$377</definedName>
    <definedName name="wskakunin_sekkei6_JIMU_TOUROKU_KIKAN__label">DATA!$D$378</definedName>
    <definedName name="wskakunin_sekkei6_KENTIKUSI_NO">DATA!$D$374</definedName>
    <definedName name="wskakunin_sekkei6_NAME">DATA!$D$375</definedName>
    <definedName name="wskakunin_sekkei6_SIKAKU__label">DATA!$D$372</definedName>
    <definedName name="wskakunin_sekkei6_TEL">DATA!$D$384</definedName>
    <definedName name="wskakunin_sekkei6_TOUROKU_KIKAN__label">DATA!$D$373</definedName>
    <definedName name="wskakunin_sekkei6_ZIP">DATA!$D$382</definedName>
    <definedName name="wskakunin_sekkei7__address">DATA!$D$400</definedName>
    <definedName name="wskakunin_sekkei7__sikaku">DATA!$D$388</definedName>
    <definedName name="wskakunin_sekkei7_DOC">DATA!$D$402</definedName>
    <definedName name="wskakunin_sekkei7_JIMU__sikaku">DATA!$D$393</definedName>
    <definedName name="wskakunin_sekkei7_JIMU_NAME">DATA!$D$397</definedName>
    <definedName name="wskakunin_sekkei7_JIMU_NO">DATA!$D$396</definedName>
    <definedName name="wskakunin_sekkei7_JIMU_SIKAKU__label">DATA!$D$394</definedName>
    <definedName name="wskakunin_sekkei7_JIMU_TOUROKU_KIKAN__label">DATA!$D$395</definedName>
    <definedName name="wskakunin_sekkei7_KENTIKUSI_NO">DATA!$D$391</definedName>
    <definedName name="wskakunin_sekkei7_NAME">DATA!$D$392</definedName>
    <definedName name="wskakunin_sekkei7_SIKAKU__label">DATA!$D$389</definedName>
    <definedName name="wskakunin_sekkei7_TEL">DATA!$D$401</definedName>
    <definedName name="wskakunin_sekkei7_TOUROKU_KIKAN__label">DATA!$D$390</definedName>
    <definedName name="wskakunin_sekkei7_ZIP">DATA!$D$399</definedName>
    <definedName name="wskakunin_sekkei8__address">DATA!$D$417</definedName>
    <definedName name="wskakunin_sekkei8__sikaku">DATA!$D$405</definedName>
    <definedName name="wskakunin_sekkei8_DOC">DATA!$D$419</definedName>
    <definedName name="wskakunin_sekkei8_JIMU__sikaku">DATA!$D$410</definedName>
    <definedName name="wskakunin_sekkei8_JIMU_NAME">DATA!$D$414</definedName>
    <definedName name="wskakunin_sekkei8_JIMU_NO">DATA!$D$413</definedName>
    <definedName name="wskakunin_sekkei8_JIMU_SIKAKU__label">DATA!$D$411</definedName>
    <definedName name="wskakunin_sekkei8_JIMU_TOUROKU_KIKAN__label">DATA!$D$412</definedName>
    <definedName name="wskakunin_sekkei8_KENTIKUSI_NO">DATA!$D$408</definedName>
    <definedName name="wskakunin_sekkei8_NAME">DATA!$D$409</definedName>
    <definedName name="wskakunin_sekkei8_SIKAKU__label">DATA!$D$406</definedName>
    <definedName name="wskakunin_sekkei8_TEL">DATA!$D$418</definedName>
    <definedName name="wskakunin_sekkei8_TOUROKU_KIKAN__label">DATA!$D$407</definedName>
    <definedName name="wskakunin_sekkei8_ZIP">DATA!$D$416</definedName>
    <definedName name="wskakunin_sekkei9__address">DATA!$D$434</definedName>
    <definedName name="wskakunin_sekkei9__sikaku">DATA!$D$422</definedName>
    <definedName name="wskakunin_sekkei9_DOC">DATA!$D$436</definedName>
    <definedName name="wskakunin_sekkei9_JIMU__sikaku">DATA!$D$427</definedName>
    <definedName name="wskakunin_sekkei9_JIMU_NAME">DATA!$D$431</definedName>
    <definedName name="wskakunin_sekkei9_JIMU_NO">DATA!$D$430</definedName>
    <definedName name="wskakunin_sekkei9_JIMU_SIKAKU__label">DATA!$D$428</definedName>
    <definedName name="wskakunin_sekkei9_JIMU_TOUROKU_KIKAN__label">DATA!$D$429</definedName>
    <definedName name="wskakunin_sekkei9_KENTIKUSI_NO">DATA!$D$425</definedName>
    <definedName name="wskakunin_sekkei9_NAME">DATA!$D$426</definedName>
    <definedName name="wskakunin_sekkei9_SIKAKU__label">DATA!$D$423</definedName>
    <definedName name="wskakunin_sekkei9_TEL">DATA!$D$435</definedName>
    <definedName name="wskakunin_sekkei9_TOUROKU_KIKAN__label">DATA!$D$424</definedName>
    <definedName name="wskakunin_sekkei9_ZIP">DATA!$D$433</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DATA!$D$795</definedName>
    <definedName name="wskakunin_sekou2_JIMU_NAME">DATA!$D$793</definedName>
    <definedName name="wskakunin_sekou2_NAME">DATA!$D$789</definedName>
    <definedName name="wskakunin_sekou2_SEKOU__sikaku">DATA!$D$790</definedName>
    <definedName name="wskakunin_sekou2_SEKOU_NO">DATA!$D$792</definedName>
    <definedName name="wskakunin_sekou2_SEKOU_SIKAKU__label">DATA!$D$791</definedName>
    <definedName name="wskakunin_sekou2_TEL">DATA!$D$796</definedName>
    <definedName name="wskakunin_sekou2_ZIP">DATA!$D$794</definedName>
    <definedName name="wskakunin_sekou3__address">DATA!$D$805</definedName>
    <definedName name="wskakunin_sekou3_JIMU_NAME">DATA!$D$803</definedName>
    <definedName name="wskakunin_sekou3_NAME">DATA!$D$799</definedName>
    <definedName name="wskakunin_sekou3_SEKOU__sikaku">DATA!$D$800</definedName>
    <definedName name="wskakunin_sekou3_SEKOU_NO">DATA!$D$802</definedName>
    <definedName name="wskakunin_sekou3_SEKOU_SIKAKU__label">DATA!$D$801</definedName>
    <definedName name="wskakunin_sekou3_TEL">DATA!$D$806</definedName>
    <definedName name="wskakunin_sekou3_ZIP">DATA!$D$804</definedName>
    <definedName name="wskakunin_sekou4__address">DATA!$D$815</definedName>
    <definedName name="wskakunin_sekou4_JIMU_NAME">DATA!$D$813</definedName>
    <definedName name="wskakunin_sekou4_NAME">DATA!$D$809</definedName>
    <definedName name="wskakunin_sekou4_SEKOU__sikaku">DATA!$D$810</definedName>
    <definedName name="wskakunin_sekou4_SEKOU_NO">DATA!$D$812</definedName>
    <definedName name="wskakunin_sekou4_SEKOU_SIKAKU__label">DATA!$D$811</definedName>
    <definedName name="wskakunin_sekou4_TEL">DATA!$D$816</definedName>
    <definedName name="wskakunin_sekou4_ZIP">DATA!$D$814</definedName>
    <definedName name="wskakunin_sekou5__address">DATA!$D$825</definedName>
    <definedName name="wskakunin_sekou5_JIMU_NAME">DATA!$D$823</definedName>
    <definedName name="wskakunin_sekou5_NAME">DATA!$D$819</definedName>
    <definedName name="wskakunin_sekou5_SEKOU__sikaku">DATA!$D$820</definedName>
    <definedName name="wskakunin_sekou5_SEKOU_NO">DATA!$D$822</definedName>
    <definedName name="wskakunin_sekou5_SEKOU_SIKAKU__label">DATA!$D$821</definedName>
    <definedName name="wskakunin_sekou5_TEL">DATA!$D$826</definedName>
    <definedName name="wskakunin_sekou5_ZIP">DATA!$D$824</definedName>
    <definedName name="wskakunin_sekou6__address">DATA!$D$835</definedName>
    <definedName name="wskakunin_sekou6_JIMU_NAME">DATA!$D$833</definedName>
    <definedName name="wskakunin_sekou6_NAME">DATA!$D$829</definedName>
    <definedName name="wskakunin_sekou6_SEKOU__sikaku">DATA!$D$830</definedName>
    <definedName name="wskakunin_sekou6_SEKOU_NO">DATA!$D$832</definedName>
    <definedName name="wskakunin_sekou6_SEKOU_SIKAKU__label">DATA!$D$831</definedName>
    <definedName name="wskakunin_sekou6_TEL">DATA!$D$836</definedName>
    <definedName name="wskakunin_sekou6_ZIP">DATA!$D$834</definedName>
    <definedName name="wskakunin_SHIKITI_MENSEKI_1_TOTAL">DATA!$D$964</definedName>
    <definedName name="wskakunin_SHIKITI_MENSEKI_1A">DATA!$D$940</definedName>
    <definedName name="wskakunin_SHIKITI_MENSEKI_1B">DATA!$D$941</definedName>
    <definedName name="wskakunin_SHIKITI_MENSEKI_1C">DATA!$D$942</definedName>
    <definedName name="wskakunin_SHIKITI_MENSEKI_1D">DATA!$D$943</definedName>
    <definedName name="wskakunin_SHIKITI_MENSEKI_2_TOTAL">DATA!$D$965</definedName>
    <definedName name="wskakunin_SHIKITI_MENSEKI_2A">DATA!$D$944</definedName>
    <definedName name="wskakunin_SHIKITI_MENSEKI_2B">DATA!$D$945</definedName>
    <definedName name="wskakunin_SHIKITI_MENSEKI_2C">DATA!$D$946</definedName>
    <definedName name="wskakunin_SHIKITI_MENSEKI_2D">DATA!$D$947</definedName>
    <definedName name="wskakunin_SHIKITI_MENSEKI_BIKOU">DATA!$D$968</definedName>
    <definedName name="wskakunin_SHINSEI_DATE">DATA!$D$58</definedName>
    <definedName name="wskakunin_SONOTA_KUIKI">DATA!$D$932</definedName>
    <definedName name="wskakunin_TAKASA_MAX_SHINSEI">DATA!$D$1095</definedName>
    <definedName name="wskakunin_TAKASA_MAX_SONOTA">DATA!$D$1096</definedName>
    <definedName name="wskakunin_tekihan01_TEKIHAN_KIKAN_ADDRESS">DATA!$D$854</definedName>
    <definedName name="wskakunin_tekihan01_TEKIHAN_KIKAN_KEN__ken">DATA!$D$853</definedName>
    <definedName name="wskakunin_tekihan01_TEKIHAN_KIKAN_NAME">DATA!$D$852</definedName>
    <definedName name="wskakunin_tekihan01_TEKIHAN_STATE">DATA!$D$848</definedName>
    <definedName name="wskakunin_tekihan02_TEKIHAN_KIKAN_ADDRESS">DATA!$D$858</definedName>
    <definedName name="wskakunin_tekihan02_TEKIHAN_KIKAN_KEN__ken">DATA!$D$857</definedName>
    <definedName name="wskakunin_tekihan02_TEKIHAN_KIKAN_NAME">DATA!$D$856</definedName>
    <definedName name="wskakunin_TOKUREI_1">DATA!$D$1189</definedName>
    <definedName name="wskakunin_TOKUREI_2">DATA!$D$1190</definedName>
    <definedName name="wskakunin_TOKUREI_3">DATA!$D$1191</definedName>
    <definedName name="wskakunin_TOKUREI_4">DATA!$D$1192</definedName>
    <definedName name="wskakunin_TOKUREI_TAKASA">DATA!$D$1110</definedName>
    <definedName name="wskakunin_TOKUREI_TAKASA_DOURO">DATA!$D$1115</definedName>
    <definedName name="wskakunin_TOKUREI_TAKASA_KITA">DATA!$D$1117</definedName>
    <definedName name="wskakunin_TOKUREI_TAKASA_RINTI">DATA!$D$1116</definedName>
    <definedName name="wskakunin_TOKUTEI_KOUJI_KANRYOU_DATE">DATA!$D$1204</definedName>
    <definedName name="wskakunin_TOKUTEI_KOUTEI">DATA!$D$1201</definedName>
    <definedName name="wskakunin_YOUSEKI_RITU">DATA!$D$1087</definedName>
    <definedName name="wskakunin_YOUSEKI_RITU_A">DATA!$D$954</definedName>
    <definedName name="wskakunin_YOUSEKI_RITU_B">DATA!$D$955</definedName>
    <definedName name="wskakunin_YOUSEKI_RITU_C">DATA!$D$956</definedName>
    <definedName name="wskakunin_YOUSEKI_RITU_D">DATA!$D$957</definedName>
    <definedName name="wskakunin_YOUTO">DATA!$D$971</definedName>
    <definedName name="wskakunin_YOUTO_CODE">DATA!$D$970</definedName>
    <definedName name="wskakunin_YOUTO_TIIKI_A">DATA!$D$949</definedName>
    <definedName name="wskakunin_YOUTO_TIIKI_B">DATA!$D$950</definedName>
    <definedName name="wskakunin_YOUTO_TIIKI_C">DATA!$D$951</definedName>
    <definedName name="wskakunin_YOUTO_TIIKI_D">DATA!$D$952</definedName>
    <definedName name="wskakuninKOUJI_SETUBI">DATA!$D$984</definedName>
    <definedName name="Z_D83ABAE7_1F4C_4C77_8E04_C5172671ED17_.wvu.Rows" localSheetId="2" hidden="1">DATA!$878:$884</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項目リスト!$AO$8:$AO$44</definedName>
    <definedName name="工事届用主要用途区分">項目リスト!$AO$3:$AP$44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46" l="1"/>
  <c r="U11" i="146"/>
  <c r="U11" i="151"/>
  <c r="L21" i="152"/>
  <c r="U8" i="152"/>
  <c r="J56" i="153"/>
  <c r="Y10" i="148"/>
  <c r="M29" i="147"/>
  <c r="U13" i="147"/>
  <c r="V61" i="145"/>
  <c r="X60" i="145"/>
  <c r="V60" i="145"/>
  <c r="Z59" i="145"/>
  <c r="X59" i="145"/>
  <c r="V59" i="145"/>
  <c r="X58" i="145"/>
  <c r="V58" i="145"/>
  <c r="L55" i="145"/>
  <c r="P31" i="145"/>
  <c r="J27" i="145"/>
  <c r="V7" i="145"/>
  <c r="D17" i="144"/>
  <c r="D13" i="144"/>
  <c r="N5" i="144"/>
  <c r="D17" i="143"/>
  <c r="D13" i="143"/>
  <c r="N5" i="143"/>
  <c r="D17" i="141"/>
  <c r="D13" i="141"/>
  <c r="N5" i="141"/>
  <c r="O18" i="132"/>
  <c r="O17" i="132"/>
  <c r="R115" i="140"/>
  <c r="R114" i="140"/>
  <c r="R113" i="140"/>
  <c r="W109" i="140"/>
  <c r="H109" i="140"/>
  <c r="W108" i="140"/>
  <c r="H108" i="140"/>
  <c r="I94" i="140"/>
  <c r="W66" i="140"/>
  <c r="P66" i="140"/>
  <c r="R64" i="140"/>
  <c r="R63" i="140"/>
  <c r="R62" i="140"/>
  <c r="U61" i="140"/>
  <c r="G59" i="140"/>
  <c r="G58" i="140"/>
  <c r="O47" i="140"/>
  <c r="K47" i="140"/>
  <c r="Q46" i="140"/>
  <c r="O46" i="140"/>
  <c r="K46" i="140"/>
  <c r="H33" i="140"/>
  <c r="E28" i="140"/>
  <c r="E18" i="140"/>
  <c r="B10" i="140"/>
  <c r="S8" i="140"/>
  <c r="F1333" i="3"/>
  <c r="F1322" i="3"/>
  <c r="F1321" i="3"/>
  <c r="F1320" i="3"/>
  <c r="F1308" i="3"/>
  <c r="F1307" i="3"/>
  <c r="F1306" i="3"/>
  <c r="F1305" i="3"/>
  <c r="F1298" i="3"/>
  <c r="F1297" i="3"/>
  <c r="F1274" i="3"/>
  <c r="F1273" i="3"/>
  <c r="F1272" i="3"/>
  <c r="F1269" i="3"/>
  <c r="F1268" i="3"/>
  <c r="F1267" i="3"/>
  <c r="F1235" i="3"/>
  <c r="F1234" i="3"/>
  <c r="F1233" i="3"/>
  <c r="F1232" i="3"/>
  <c r="F1231" i="3"/>
  <c r="F1228" i="3"/>
  <c r="F1227" i="3"/>
  <c r="F1226" i="3"/>
  <c r="F1225" i="3"/>
  <c r="F1224" i="3"/>
  <c r="F1221" i="3"/>
  <c r="F1220" i="3"/>
  <c r="F1219" i="3"/>
  <c r="F1218" i="3"/>
  <c r="F1217" i="3"/>
  <c r="F1214" i="3"/>
  <c r="F1213" i="3"/>
  <c r="F1212" i="3"/>
  <c r="F1211" i="3"/>
  <c r="F1210" i="3"/>
  <c r="F1201" i="3"/>
  <c r="F1194" i="3"/>
  <c r="F1188" i="3"/>
  <c r="F1181" i="3"/>
  <c r="F1179" i="3"/>
  <c r="F1177" i="3"/>
  <c r="F1176" i="3"/>
  <c r="F1175" i="3"/>
  <c r="F1173" i="3"/>
  <c r="F1172" i="3"/>
  <c r="F1171" i="3"/>
  <c r="F1168" i="3"/>
  <c r="F1167" i="3"/>
  <c r="F1166" i="3"/>
  <c r="F1163" i="3"/>
  <c r="F1319" i="3" s="1"/>
  <c r="F1162" i="3"/>
  <c r="AB60" i="145" s="1"/>
  <c r="F1161" i="3"/>
  <c r="F1318" i="3" s="1"/>
  <c r="F1158" i="3"/>
  <c r="F1157" i="3"/>
  <c r="AB59" i="145" s="1"/>
  <c r="F1156" i="3"/>
  <c r="F1304" i="3" s="1"/>
  <c r="F1151" i="3"/>
  <c r="F1150" i="3"/>
  <c r="F1148" i="3"/>
  <c r="AB61" i="145" s="1"/>
  <c r="F1146" i="3"/>
  <c r="M46" i="140" s="1"/>
  <c r="F1144" i="3"/>
  <c r="F1141" i="3"/>
  <c r="F1140" i="3"/>
  <c r="F1139" i="3"/>
  <c r="F1138" i="3"/>
  <c r="F1137" i="3"/>
  <c r="F1133" i="3"/>
  <c r="F1132" i="3"/>
  <c r="F1131" i="3"/>
  <c r="F1130" i="3"/>
  <c r="F1129" i="3"/>
  <c r="F1125" i="3"/>
  <c r="F1124" i="3"/>
  <c r="F1123" i="3"/>
  <c r="F1122" i="3"/>
  <c r="F1121" i="3"/>
  <c r="F1117" i="3"/>
  <c r="F1116" i="3"/>
  <c r="F1115" i="3"/>
  <c r="F1112" i="3"/>
  <c r="F1111" i="3"/>
  <c r="F1110" i="3"/>
  <c r="F1108" i="3"/>
  <c r="F1107" i="3"/>
  <c r="F1106" i="3"/>
  <c r="F1105" i="3"/>
  <c r="F1104" i="3"/>
  <c r="F1102" i="3"/>
  <c r="F1101" i="3"/>
  <c r="F1099" i="3"/>
  <c r="F1098" i="3"/>
  <c r="F1096" i="3"/>
  <c r="F1095" i="3"/>
  <c r="F1091" i="3"/>
  <c r="F1090" i="3"/>
  <c r="F1087" i="3"/>
  <c r="F1084" i="3"/>
  <c r="F1081" i="3"/>
  <c r="F1080"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I88" i="140" s="1"/>
  <c r="F1020" i="3"/>
  <c r="F1019" i="3"/>
  <c r="F1018" i="3"/>
  <c r="F1017" i="3"/>
  <c r="F1014" i="3"/>
  <c r="F1013" i="3"/>
  <c r="F1012" i="3"/>
  <c r="F1011" i="3"/>
  <c r="F1010" i="3"/>
  <c r="F1009" i="3"/>
  <c r="F1008" i="3"/>
  <c r="F1007" i="3"/>
  <c r="F1006" i="3"/>
  <c r="F1003" i="3"/>
  <c r="F1002" i="3"/>
  <c r="F1001" i="3"/>
  <c r="F1000" i="3"/>
  <c r="F999" i="3"/>
  <c r="F998" i="3"/>
  <c r="F996" i="3"/>
  <c r="F995" i="3"/>
  <c r="F994" i="3"/>
  <c r="F993" i="3"/>
  <c r="F992" i="3"/>
  <c r="F991" i="3"/>
  <c r="F990" i="3"/>
  <c r="F989" i="3"/>
  <c r="F988" i="3"/>
  <c r="F984" i="3"/>
  <c r="F983" i="3"/>
  <c r="F982" i="3"/>
  <c r="J18" i="132" s="1"/>
  <c r="F981" i="3"/>
  <c r="F18" i="132" s="1"/>
  <c r="F980" i="3"/>
  <c r="F979" i="3"/>
  <c r="P61" i="140" s="1"/>
  <c r="F978" i="3"/>
  <c r="F985" i="3" s="1"/>
  <c r="F977" i="3"/>
  <c r="F61" i="140" s="1"/>
  <c r="F976" i="3"/>
  <c r="F974" i="3"/>
  <c r="F973" i="3"/>
  <c r="F972" i="3"/>
  <c r="F971" i="3"/>
  <c r="F16" i="132" s="1"/>
  <c r="F970" i="3"/>
  <c r="F968" i="3"/>
  <c r="F967" i="3"/>
  <c r="F966" i="3"/>
  <c r="F965" i="3"/>
  <c r="F964" i="3"/>
  <c r="N95" i="140" s="1"/>
  <c r="F962" i="3"/>
  <c r="F961" i="3"/>
  <c r="F960" i="3"/>
  <c r="F959" i="3"/>
  <c r="F957" i="3"/>
  <c r="F956" i="3"/>
  <c r="F955" i="3"/>
  <c r="F954" i="3"/>
  <c r="F952" i="3"/>
  <c r="F951" i="3"/>
  <c r="F950" i="3"/>
  <c r="F949" i="3"/>
  <c r="F947" i="3"/>
  <c r="F946" i="3"/>
  <c r="F945" i="3"/>
  <c r="F944" i="3"/>
  <c r="F943" i="3"/>
  <c r="F942" i="3"/>
  <c r="F941" i="3"/>
  <c r="F940" i="3"/>
  <c r="F936" i="3"/>
  <c r="F935" i="3"/>
  <c r="F932" i="3"/>
  <c r="F930" i="3"/>
  <c r="F929" i="3"/>
  <c r="F928" i="3"/>
  <c r="F927" i="3"/>
  <c r="F926" i="3"/>
  <c r="F924" i="3"/>
  <c r="G60" i="140" s="1"/>
  <c r="F923" i="3"/>
  <c r="R59" i="140" s="1"/>
  <c r="F922" i="3"/>
  <c r="F921" i="3"/>
  <c r="N58" i="140" s="1"/>
  <c r="F920" i="3"/>
  <c r="F919" i="3"/>
  <c r="F917" i="3"/>
  <c r="F918" i="3" s="1"/>
  <c r="F916" i="3"/>
  <c r="F913" i="3"/>
  <c r="F912" i="3"/>
  <c r="F911" i="3"/>
  <c r="F908" i="3"/>
  <c r="F907" i="3"/>
  <c r="F906" i="3"/>
  <c r="D23" i="146" s="1"/>
  <c r="F902" i="3"/>
  <c r="F901" i="3"/>
  <c r="F900" i="3"/>
  <c r="F899" i="3"/>
  <c r="F898" i="3"/>
  <c r="F897" i="3"/>
  <c r="F893" i="3"/>
  <c r="F895" i="3" s="1"/>
  <c r="F892" i="3"/>
  <c r="F891" i="3"/>
  <c r="F890" i="3"/>
  <c r="F889" i="3"/>
  <c r="F888" i="3"/>
  <c r="F887" i="3"/>
  <c r="F886" i="3"/>
  <c r="I92" i="140" s="1"/>
  <c r="I66" i="140" s="1"/>
  <c r="F885" i="3"/>
  <c r="F884" i="3"/>
  <c r="F877" i="3"/>
  <c r="F876" i="3"/>
  <c r="F872" i="3"/>
  <c r="F871" i="3"/>
  <c r="F870" i="3"/>
  <c r="F868" i="3"/>
  <c r="F867" i="3"/>
  <c r="F866" i="3"/>
  <c r="F865" i="3"/>
  <c r="F864" i="3"/>
  <c r="F863" i="3"/>
  <c r="F858" i="3"/>
  <c r="F857" i="3"/>
  <c r="F856" i="3"/>
  <c r="F859" i="3" s="1"/>
  <c r="F854" i="3"/>
  <c r="F853" i="3"/>
  <c r="F852" i="3"/>
  <c r="F855" i="3" s="1"/>
  <c r="F851" i="3"/>
  <c r="F850" i="3"/>
  <c r="F849" i="3"/>
  <c r="F844" i="3"/>
  <c r="F843" i="3"/>
  <c r="F842" i="3"/>
  <c r="I46" i="145" s="1"/>
  <c r="F839" i="3"/>
  <c r="F836" i="3"/>
  <c r="F835" i="3"/>
  <c r="F834" i="3"/>
  <c r="F833" i="3"/>
  <c r="F832" i="3"/>
  <c r="F831" i="3"/>
  <c r="F830" i="3"/>
  <c r="F829" i="3"/>
  <c r="F826" i="3"/>
  <c r="F825" i="3"/>
  <c r="F824" i="3"/>
  <c r="F823" i="3"/>
  <c r="F822" i="3"/>
  <c r="F821" i="3"/>
  <c r="F820" i="3"/>
  <c r="F819" i="3"/>
  <c r="F816" i="3"/>
  <c r="F815" i="3"/>
  <c r="F814" i="3"/>
  <c r="F813" i="3"/>
  <c r="F812" i="3"/>
  <c r="F811" i="3"/>
  <c r="F810" i="3"/>
  <c r="F809" i="3"/>
  <c r="F806" i="3"/>
  <c r="F805" i="3"/>
  <c r="F804" i="3"/>
  <c r="F803" i="3"/>
  <c r="F802" i="3"/>
  <c r="F801" i="3"/>
  <c r="F800" i="3"/>
  <c r="F799" i="3"/>
  <c r="F796" i="3"/>
  <c r="F795" i="3"/>
  <c r="F794" i="3"/>
  <c r="F793" i="3"/>
  <c r="F792" i="3"/>
  <c r="F791" i="3"/>
  <c r="F790" i="3"/>
  <c r="F789" i="3"/>
  <c r="F785" i="3"/>
  <c r="E23" i="140" s="1"/>
  <c r="F784" i="3"/>
  <c r="J54" i="153" s="1"/>
  <c r="F783" i="3"/>
  <c r="E21" i="140" s="1"/>
  <c r="F782" i="3"/>
  <c r="E20" i="140" s="1"/>
  <c r="F781" i="3"/>
  <c r="AB57" i="153" s="1"/>
  <c r="F780" i="3"/>
  <c r="W57" i="153" s="1"/>
  <c r="F779" i="3"/>
  <c r="F787" i="3" s="1"/>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F646" i="3"/>
  <c r="F645" i="3"/>
  <c r="F644" i="3"/>
  <c r="F643" i="3"/>
  <c r="F642" i="3"/>
  <c r="F641" i="3"/>
  <c r="F640" i="3"/>
  <c r="F639" i="3"/>
  <c r="F638" i="3"/>
  <c r="F637" i="3"/>
  <c r="F636" i="3"/>
  <c r="F635" i="3"/>
  <c r="F634" i="3"/>
  <c r="F631" i="3"/>
  <c r="F630" i="3"/>
  <c r="F629" i="3"/>
  <c r="F628" i="3"/>
  <c r="F627" i="3"/>
  <c r="F626" i="3"/>
  <c r="F625" i="3"/>
  <c r="F624" i="3"/>
  <c r="F623" i="3"/>
  <c r="F622" i="3"/>
  <c r="F621" i="3"/>
  <c r="F620" i="3"/>
  <c r="F619" i="3"/>
  <c r="F618" i="3"/>
  <c r="F615" i="3"/>
  <c r="F614" i="3"/>
  <c r="F613" i="3"/>
  <c r="F612" i="3"/>
  <c r="F611" i="3"/>
  <c r="F610" i="3"/>
  <c r="F609" i="3"/>
  <c r="F608" i="3"/>
  <c r="F607" i="3"/>
  <c r="F606" i="3"/>
  <c r="F605" i="3"/>
  <c r="F604" i="3"/>
  <c r="F603" i="3"/>
  <c r="F602" i="3"/>
  <c r="F599" i="3"/>
  <c r="Q46" i="153" s="1"/>
  <c r="F598" i="3"/>
  <c r="N45" i="153" s="1"/>
  <c r="F597" i="3"/>
  <c r="E30" i="140" s="1"/>
  <c r="F596" i="3"/>
  <c r="E29" i="140" s="1"/>
  <c r="F595" i="3"/>
  <c r="F594" i="3"/>
  <c r="F593" i="3"/>
  <c r="N15" i="144" s="1"/>
  <c r="F592" i="3"/>
  <c r="AC45" i="153" s="1"/>
  <c r="F591" i="3"/>
  <c r="W45" i="153" s="1"/>
  <c r="F590" i="3"/>
  <c r="X44" i="153" s="1"/>
  <c r="F589" i="3"/>
  <c r="F588" i="3"/>
  <c r="L43" i="153" s="1"/>
  <c r="F587" i="3"/>
  <c r="AC43" i="153" s="1"/>
  <c r="F586" i="3"/>
  <c r="X43" i="153" s="1"/>
  <c r="F585" i="3"/>
  <c r="J31" i="145" s="1"/>
  <c r="F584" i="3"/>
  <c r="F581" i="3"/>
  <c r="F580" i="3"/>
  <c r="F579" i="3"/>
  <c r="F578" i="3"/>
  <c r="F577" i="3"/>
  <c r="F576" i="3"/>
  <c r="F575" i="3"/>
  <c r="F573" i="3"/>
  <c r="F572" i="3"/>
  <c r="F571" i="3"/>
  <c r="F570" i="3"/>
  <c r="F569" i="3"/>
  <c r="F568" i="3"/>
  <c r="F567" i="3"/>
  <c r="F564" i="3"/>
  <c r="F563" i="3"/>
  <c r="F562" i="3"/>
  <c r="F561" i="3"/>
  <c r="F560" i="3"/>
  <c r="F559" i="3"/>
  <c r="F558" i="3"/>
  <c r="F555" i="3"/>
  <c r="F554" i="3"/>
  <c r="F553" i="3"/>
  <c r="F552" i="3"/>
  <c r="F551" i="3"/>
  <c r="F550" i="3"/>
  <c r="F549" i="3"/>
  <c r="F546" i="3"/>
  <c r="F545" i="3"/>
  <c r="F544" i="3"/>
  <c r="F543" i="3"/>
  <c r="F542" i="3"/>
  <c r="F541" i="3"/>
  <c r="F540" i="3"/>
  <c r="F536" i="3"/>
  <c r="F535" i="3"/>
  <c r="F534" i="3"/>
  <c r="F533" i="3"/>
  <c r="F532" i="3"/>
  <c r="F531" i="3"/>
  <c r="F530" i="3"/>
  <c r="F529" i="3"/>
  <c r="F528" i="3"/>
  <c r="F527" i="3"/>
  <c r="F524" i="3"/>
  <c r="F523" i="3"/>
  <c r="F522" i="3"/>
  <c r="F521" i="3"/>
  <c r="F520" i="3"/>
  <c r="F519" i="3"/>
  <c r="F518" i="3"/>
  <c r="F517" i="3"/>
  <c r="F516" i="3"/>
  <c r="F515" i="3"/>
  <c r="F512" i="3"/>
  <c r="F511" i="3"/>
  <c r="F510" i="3"/>
  <c r="F509" i="3"/>
  <c r="F508" i="3"/>
  <c r="F507" i="3"/>
  <c r="F506" i="3"/>
  <c r="F505" i="3"/>
  <c r="F504" i="3"/>
  <c r="F503" i="3"/>
  <c r="F500" i="3"/>
  <c r="F499" i="3"/>
  <c r="F498" i="3"/>
  <c r="F497" i="3"/>
  <c r="F496" i="3"/>
  <c r="F495" i="3"/>
  <c r="F494" i="3"/>
  <c r="F493" i="3"/>
  <c r="F492" i="3"/>
  <c r="F491" i="3"/>
  <c r="F487" i="3"/>
  <c r="F486" i="3"/>
  <c r="F485" i="3"/>
  <c r="F484" i="3"/>
  <c r="F483" i="3"/>
  <c r="F482" i="3"/>
  <c r="F481" i="3"/>
  <c r="F480" i="3"/>
  <c r="F479" i="3"/>
  <c r="F478" i="3"/>
  <c r="F477" i="3"/>
  <c r="F476" i="3"/>
  <c r="F475" i="3"/>
  <c r="F474" i="3"/>
  <c r="F473" i="3"/>
  <c r="F470" i="3"/>
  <c r="F469" i="3"/>
  <c r="F468" i="3"/>
  <c r="F467" i="3"/>
  <c r="F466" i="3"/>
  <c r="F465" i="3"/>
  <c r="F464" i="3"/>
  <c r="F463" i="3"/>
  <c r="F462" i="3"/>
  <c r="F461" i="3"/>
  <c r="F460" i="3"/>
  <c r="F459" i="3"/>
  <c r="F458" i="3"/>
  <c r="F457" i="3"/>
  <c r="F456" i="3"/>
  <c r="F453" i="3"/>
  <c r="F452" i="3"/>
  <c r="F451" i="3"/>
  <c r="F450" i="3"/>
  <c r="F449" i="3"/>
  <c r="F448" i="3"/>
  <c r="F447" i="3"/>
  <c r="F446" i="3"/>
  <c r="F445" i="3"/>
  <c r="F444" i="3"/>
  <c r="F443" i="3"/>
  <c r="F442" i="3"/>
  <c r="F441" i="3"/>
  <c r="F440" i="3"/>
  <c r="F439" i="3"/>
  <c r="F436" i="3"/>
  <c r="F435" i="3"/>
  <c r="F434" i="3"/>
  <c r="F433" i="3"/>
  <c r="F432" i="3"/>
  <c r="F431" i="3"/>
  <c r="F430" i="3"/>
  <c r="F429" i="3"/>
  <c r="F428" i="3"/>
  <c r="F427" i="3"/>
  <c r="F426" i="3"/>
  <c r="F425" i="3"/>
  <c r="F424" i="3"/>
  <c r="F423" i="3"/>
  <c r="F422" i="3"/>
  <c r="F419" i="3"/>
  <c r="F418" i="3"/>
  <c r="F417" i="3"/>
  <c r="F416" i="3"/>
  <c r="F415" i="3"/>
  <c r="F414" i="3"/>
  <c r="F413" i="3"/>
  <c r="F412" i="3"/>
  <c r="F411" i="3"/>
  <c r="F410" i="3"/>
  <c r="F409" i="3"/>
  <c r="F408" i="3"/>
  <c r="F407" i="3"/>
  <c r="F406" i="3"/>
  <c r="F405" i="3"/>
  <c r="F402" i="3"/>
  <c r="F401" i="3"/>
  <c r="F400" i="3"/>
  <c r="F399" i="3"/>
  <c r="F398" i="3"/>
  <c r="F397" i="3"/>
  <c r="F396" i="3"/>
  <c r="F395" i="3"/>
  <c r="F394" i="3"/>
  <c r="F393" i="3"/>
  <c r="F392" i="3"/>
  <c r="F391" i="3"/>
  <c r="F390" i="3"/>
  <c r="F389" i="3"/>
  <c r="F388" i="3"/>
  <c r="F385" i="3"/>
  <c r="F384" i="3"/>
  <c r="F383" i="3"/>
  <c r="F382" i="3"/>
  <c r="F381" i="3"/>
  <c r="F380" i="3"/>
  <c r="F379" i="3"/>
  <c r="F378" i="3"/>
  <c r="F377" i="3"/>
  <c r="F376" i="3"/>
  <c r="F375" i="3"/>
  <c r="F374" i="3"/>
  <c r="F373" i="3"/>
  <c r="F372" i="3"/>
  <c r="F371" i="3"/>
  <c r="F368" i="3"/>
  <c r="F367" i="3"/>
  <c r="F366" i="3"/>
  <c r="F365" i="3"/>
  <c r="F364" i="3"/>
  <c r="F363" i="3"/>
  <c r="F362" i="3"/>
  <c r="F361" i="3"/>
  <c r="F360" i="3"/>
  <c r="F359" i="3"/>
  <c r="F358" i="3"/>
  <c r="F357" i="3"/>
  <c r="F356" i="3"/>
  <c r="F355" i="3"/>
  <c r="F354" i="3"/>
  <c r="F351" i="3"/>
  <c r="F350" i="3"/>
  <c r="F349" i="3"/>
  <c r="F348" i="3"/>
  <c r="F347" i="3"/>
  <c r="F346" i="3"/>
  <c r="F345" i="3"/>
  <c r="F344" i="3"/>
  <c r="F343" i="3"/>
  <c r="F342" i="3"/>
  <c r="F341" i="3"/>
  <c r="F340" i="3"/>
  <c r="F339" i="3"/>
  <c r="F338" i="3"/>
  <c r="F337" i="3"/>
  <c r="F334" i="3"/>
  <c r="F333" i="3"/>
  <c r="F332" i="3"/>
  <c r="F331" i="3"/>
  <c r="F330" i="3"/>
  <c r="F329" i="3"/>
  <c r="F328" i="3"/>
  <c r="F327" i="3"/>
  <c r="F326" i="3"/>
  <c r="F325" i="3"/>
  <c r="F324" i="3"/>
  <c r="F323" i="3"/>
  <c r="F322" i="3"/>
  <c r="F321" i="3"/>
  <c r="F320" i="3"/>
  <c r="F317" i="3"/>
  <c r="F316" i="3"/>
  <c r="F315" i="3"/>
  <c r="F314" i="3"/>
  <c r="F313" i="3"/>
  <c r="F312" i="3"/>
  <c r="F311" i="3"/>
  <c r="F310" i="3"/>
  <c r="F309" i="3"/>
  <c r="F308" i="3"/>
  <c r="F307" i="3"/>
  <c r="F306" i="3"/>
  <c r="F305" i="3"/>
  <c r="F304" i="3"/>
  <c r="F303" i="3"/>
  <c r="F300" i="3"/>
  <c r="F299" i="3"/>
  <c r="F298" i="3"/>
  <c r="F297" i="3"/>
  <c r="F296" i="3"/>
  <c r="F295" i="3"/>
  <c r="F294" i="3"/>
  <c r="F293" i="3"/>
  <c r="F292" i="3"/>
  <c r="F291" i="3"/>
  <c r="F290" i="3"/>
  <c r="N13" i="144" s="1"/>
  <c r="F289" i="3"/>
  <c r="F288" i="3"/>
  <c r="F287" i="3"/>
  <c r="F286" i="3"/>
  <c r="F283" i="3"/>
  <c r="F282" i="3"/>
  <c r="F281" i="3"/>
  <c r="F280" i="3"/>
  <c r="F279" i="3"/>
  <c r="F278" i="3"/>
  <c r="F277" i="3"/>
  <c r="F276" i="3"/>
  <c r="F275" i="3"/>
  <c r="F274" i="3"/>
  <c r="F273" i="3"/>
  <c r="F272" i="3"/>
  <c r="F271" i="3"/>
  <c r="F270" i="3"/>
  <c r="F269" i="3"/>
  <c r="F268" i="3"/>
  <c r="F265" i="3"/>
  <c r="F264" i="3"/>
  <c r="F263" i="3"/>
  <c r="F262" i="3"/>
  <c r="F261" i="3"/>
  <c r="F260" i="3"/>
  <c r="F259" i="3"/>
  <c r="F258" i="3"/>
  <c r="F257" i="3"/>
  <c r="F256" i="3"/>
  <c r="F255" i="3"/>
  <c r="F254" i="3"/>
  <c r="F253" i="3"/>
  <c r="F252" i="3"/>
  <c r="F251" i="3"/>
  <c r="F250" i="3"/>
  <c r="F247" i="3"/>
  <c r="F246" i="3"/>
  <c r="F245" i="3"/>
  <c r="F244" i="3"/>
  <c r="F243" i="3"/>
  <c r="F242" i="3"/>
  <c r="F241" i="3"/>
  <c r="F240" i="3"/>
  <c r="F239" i="3"/>
  <c r="F238" i="3"/>
  <c r="F237" i="3"/>
  <c r="F236" i="3"/>
  <c r="F235" i="3"/>
  <c r="F234" i="3"/>
  <c r="F233" i="3"/>
  <c r="F232" i="3"/>
  <c r="F229" i="3"/>
  <c r="F228" i="3"/>
  <c r="F227" i="3"/>
  <c r="F226" i="3"/>
  <c r="F225" i="3"/>
  <c r="F224" i="3"/>
  <c r="F223" i="3"/>
  <c r="F222" i="3"/>
  <c r="F221" i="3"/>
  <c r="F220" i="3"/>
  <c r="F219" i="3"/>
  <c r="F218" i="3"/>
  <c r="F217" i="3"/>
  <c r="F216" i="3"/>
  <c r="F215" i="3"/>
  <c r="F214" i="3"/>
  <c r="F211" i="3"/>
  <c r="F210" i="3"/>
  <c r="F209" i="3"/>
  <c r="F207" i="3"/>
  <c r="F8" i="132" s="1"/>
  <c r="F206" i="3"/>
  <c r="F7" i="132" s="1"/>
  <c r="F205" i="3"/>
  <c r="F204" i="3"/>
  <c r="N34" i="153" s="1"/>
  <c r="F203" i="3"/>
  <c r="AC35" i="153" s="1"/>
  <c r="F202" i="3"/>
  <c r="W35" i="153" s="1"/>
  <c r="F201" i="3"/>
  <c r="X34" i="153" s="1"/>
  <c r="F200" i="3"/>
  <c r="F199" i="3"/>
  <c r="F198" i="3"/>
  <c r="L33" i="153" s="1"/>
  <c r="F197" i="3"/>
  <c r="F196" i="3"/>
  <c r="AC33" i="153" s="1"/>
  <c r="F195" i="3"/>
  <c r="X33" i="153" s="1"/>
  <c r="F194" i="3"/>
  <c r="Q5" i="132" s="1"/>
  <c r="F193" i="3"/>
  <c r="F190" i="3"/>
  <c r="F189" i="3"/>
  <c r="F188" i="3"/>
  <c r="F187" i="3"/>
  <c r="F186" i="3"/>
  <c r="F185" i="3"/>
  <c r="F184" i="3"/>
  <c r="F183" i="3"/>
  <c r="F182" i="3"/>
  <c r="F179" i="3"/>
  <c r="F178" i="3"/>
  <c r="F177" i="3"/>
  <c r="F176" i="3"/>
  <c r="F175" i="3"/>
  <c r="F174" i="3"/>
  <c r="F173" i="3"/>
  <c r="F172" i="3"/>
  <c r="F171" i="3"/>
  <c r="F168" i="3"/>
  <c r="F167" i="3"/>
  <c r="F166" i="3"/>
  <c r="F157" i="3" s="1"/>
  <c r="F165" i="3"/>
  <c r="F164" i="3"/>
  <c r="F163" i="3"/>
  <c r="F162" i="3"/>
  <c r="F161" i="3"/>
  <c r="F160" i="3"/>
  <c r="F156" i="3"/>
  <c r="F155" i="3"/>
  <c r="F154" i="3"/>
  <c r="F153" i="3"/>
  <c r="F152" i="3"/>
  <c r="F151" i="3"/>
  <c r="F150" i="3"/>
  <c r="F149" i="3"/>
  <c r="F148" i="3"/>
  <c r="F145" i="3"/>
  <c r="F144" i="3"/>
  <c r="F143" i="3"/>
  <c r="F142" i="3"/>
  <c r="F141" i="3"/>
  <c r="F140" i="3"/>
  <c r="F139" i="3"/>
  <c r="F138" i="3"/>
  <c r="F137" i="3"/>
  <c r="F136" i="3"/>
  <c r="F132" i="3"/>
  <c r="F131" i="3"/>
  <c r="F130" i="3"/>
  <c r="F129" i="3"/>
  <c r="F128" i="3"/>
  <c r="F133" i="3" s="1"/>
  <c r="F127" i="3"/>
  <c r="F126" i="3"/>
  <c r="F125" i="3"/>
  <c r="F124" i="3"/>
  <c r="F121" i="3"/>
  <c r="F119" i="3"/>
  <c r="F118" i="3"/>
  <c r="F117" i="3"/>
  <c r="F116" i="3"/>
  <c r="F115" i="3"/>
  <c r="F120" i="3" s="1"/>
  <c r="F114" i="3"/>
  <c r="F113" i="3"/>
  <c r="F112" i="3"/>
  <c r="F111" i="3"/>
  <c r="F107" i="3"/>
  <c r="F108" i="3" s="1"/>
  <c r="F106" i="3"/>
  <c r="F105" i="3"/>
  <c r="F104" i="3"/>
  <c r="F103" i="3"/>
  <c r="F102" i="3"/>
  <c r="F101" i="3"/>
  <c r="F100" i="3"/>
  <c r="F99" i="3"/>
  <c r="F98" i="3"/>
  <c r="F97" i="3"/>
  <c r="F90" i="3"/>
  <c r="F91" i="3" s="1"/>
  <c r="F89" i="3"/>
  <c r="J26" i="153" s="1"/>
  <c r="F88" i="3"/>
  <c r="Y26" i="153" s="1"/>
  <c r="F87" i="3"/>
  <c r="E16" i="140" s="1"/>
  <c r="F86" i="3"/>
  <c r="N17" i="146" s="1"/>
  <c r="F85" i="3"/>
  <c r="F84" i="3"/>
  <c r="O13" i="145" s="1"/>
  <c r="F81" i="3"/>
  <c r="F82" i="3" s="1"/>
  <c r="F80" i="3"/>
  <c r="N16" i="145" s="1"/>
  <c r="F79" i="3"/>
  <c r="F78" i="3"/>
  <c r="F77" i="3"/>
  <c r="F83" i="3" s="1"/>
  <c r="F76" i="3"/>
  <c r="F94" i="3" s="1"/>
  <c r="F73" i="3"/>
  <c r="F70" i="3"/>
  <c r="F63" i="3"/>
  <c r="F62" i="3"/>
  <c r="F61" i="3"/>
  <c r="F60" i="3"/>
  <c r="F58" i="3"/>
  <c r="Y8" i="140" s="1"/>
  <c r="F56" i="3"/>
  <c r="F55" i="3"/>
  <c r="F54" i="3"/>
  <c r="F53" i="3"/>
  <c r="F50" i="3"/>
  <c r="I34" i="140" s="1"/>
  <c r="F48" i="3"/>
  <c r="N33" i="140" s="1"/>
  <c r="F46" i="3"/>
  <c r="F45" i="3"/>
  <c r="F44" i="3"/>
  <c r="J32" i="140" s="1"/>
  <c r="F42" i="3"/>
  <c r="F40" i="3"/>
  <c r="F38" i="3"/>
  <c r="L24" i="151" s="1"/>
  <c r="F35" i="3"/>
  <c r="F34" i="3"/>
  <c r="F26" i="3"/>
  <c r="F1239" i="3" s="1"/>
  <c r="F22" i="3"/>
  <c r="F21" i="3"/>
  <c r="F20" i="3"/>
  <c r="F19" i="3"/>
  <c r="F67" i="3" s="1"/>
  <c r="F18" i="3"/>
  <c r="F17" i="3"/>
  <c r="F16" i="3"/>
  <c r="F15" i="3"/>
  <c r="F14" i="3"/>
  <c r="F13" i="3"/>
  <c r="F12" i="3"/>
  <c r="F11" i="3"/>
  <c r="F9" i="3"/>
  <c r="F7" i="3"/>
  <c r="D31" i="1"/>
  <c r="D12" i="1"/>
  <c r="B12" i="1" s="1"/>
  <c r="D11" i="1"/>
  <c r="B11" i="1" s="1"/>
  <c r="L2" i="1"/>
  <c r="K2" i="1"/>
  <c r="J2" i="1"/>
  <c r="G2" i="1"/>
  <c r="F68" i="3" l="1"/>
  <c r="L18" i="153" s="1"/>
  <c r="F30" i="3"/>
  <c r="F1327" i="3" s="1"/>
  <c r="F32" i="132"/>
  <c r="E12" i="140"/>
  <c r="F31" i="3"/>
  <c r="F894" i="3"/>
  <c r="F1204" i="3"/>
  <c r="F1240" i="3"/>
  <c r="F1252" i="3"/>
  <c r="E22" i="140"/>
  <c r="F4" i="132"/>
  <c r="F15" i="132"/>
  <c r="N17" i="145"/>
  <c r="J32" i="145"/>
  <c r="Z58" i="145"/>
  <c r="Z60" i="145"/>
  <c r="L19" i="147"/>
  <c r="N44" i="153"/>
  <c r="N14" i="151"/>
  <c r="M2" i="1"/>
  <c r="F32" i="3"/>
  <c r="F786" i="3"/>
  <c r="N57" i="153" s="1"/>
  <c r="F1206" i="3"/>
  <c r="F1241" i="3"/>
  <c r="F1253" i="3"/>
  <c r="J33" i="140"/>
  <c r="E5" i="132"/>
  <c r="N17" i="141"/>
  <c r="N17" i="144"/>
  <c r="Q32" i="145"/>
  <c r="AB58" i="145"/>
  <c r="C26" i="147"/>
  <c r="O31" i="153"/>
  <c r="N17" i="151"/>
  <c r="N2" i="1"/>
  <c r="F92" i="3"/>
  <c r="F1242" i="3"/>
  <c r="F1254" i="3"/>
  <c r="E14" i="140"/>
  <c r="E25" i="140"/>
  <c r="L33" i="140"/>
  <c r="M47" i="140"/>
  <c r="I5" i="132"/>
  <c r="F17" i="132"/>
  <c r="F33" i="132"/>
  <c r="D18" i="141"/>
  <c r="D18" i="144"/>
  <c r="X32" i="145"/>
  <c r="X32" i="153"/>
  <c r="D23" i="151"/>
  <c r="F93" i="3"/>
  <c r="F1196" i="3"/>
  <c r="F1255" i="3"/>
  <c r="E15" i="140"/>
  <c r="E27" i="140"/>
  <c r="M5" i="132"/>
  <c r="I17" i="132"/>
  <c r="F34" i="132"/>
  <c r="D20" i="141"/>
  <c r="D20" i="144"/>
  <c r="J28" i="145"/>
  <c r="X61" i="145"/>
  <c r="T13" i="148"/>
  <c r="O41" i="153"/>
  <c r="T24" i="146"/>
  <c r="H2" i="1"/>
  <c r="E22" i="1" s="1"/>
  <c r="D22" i="1" s="1"/>
  <c r="B22" i="1" s="1"/>
  <c r="F27" i="3"/>
  <c r="F208" i="3"/>
  <c r="N35" i="153" s="1"/>
  <c r="F840" i="3"/>
  <c r="F1199" i="3"/>
  <c r="F1256" i="3"/>
  <c r="Q47" i="140"/>
  <c r="K61" i="140"/>
  <c r="L17" i="132"/>
  <c r="J29" i="145"/>
  <c r="D21" i="145" s="1"/>
  <c r="I49" i="145"/>
  <c r="Z61" i="145"/>
  <c r="T17" i="148"/>
  <c r="R8" i="153"/>
  <c r="X42" i="153"/>
  <c r="N11" i="152"/>
  <c r="I2" i="1"/>
  <c r="E10" i="1" s="1"/>
  <c r="D10" i="1" s="1"/>
  <c r="B10" i="1" s="1"/>
  <c r="E26" i="1"/>
  <c r="D26" i="1" s="1"/>
  <c r="B26" i="1" s="1"/>
  <c r="F28" i="3"/>
  <c r="F65" i="3"/>
  <c r="U8" i="140"/>
  <c r="G55" i="140"/>
  <c r="F6" i="132"/>
  <c r="L24" i="148"/>
  <c r="R11" i="153"/>
  <c r="N14" i="152"/>
  <c r="N14" i="146"/>
  <c r="F29" i="3"/>
  <c r="F1202" i="3"/>
  <c r="F1238" i="3"/>
  <c r="F1301" i="3"/>
  <c r="W8" i="140"/>
  <c r="N13" i="141"/>
  <c r="O14" i="145"/>
  <c r="L27" i="148"/>
  <c r="C16" i="153"/>
  <c r="J24" i="153"/>
  <c r="D20" i="152"/>
  <c r="F1203" i="3"/>
  <c r="N15" i="141"/>
  <c r="X31" i="145"/>
  <c r="L16" i="147"/>
  <c r="L30" i="148"/>
  <c r="T21" i="152" l="1"/>
  <c r="F1315" i="3"/>
  <c r="Q21" i="152"/>
  <c r="R29" i="147"/>
  <c r="O29" i="147"/>
  <c r="N24" i="146"/>
  <c r="F1326" i="3"/>
  <c r="F1313" i="3"/>
  <c r="U29" i="147"/>
  <c r="F1329" i="3"/>
  <c r="N21" i="152"/>
  <c r="F1330" i="3"/>
  <c r="F1314" i="3"/>
  <c r="F1312" i="3"/>
  <c r="F1311" i="3"/>
  <c r="Q24" i="146"/>
  <c r="R18" i="153"/>
  <c r="O18" i="153"/>
  <c r="F1328" i="3"/>
  <c r="F1284" i="3"/>
  <c r="F1283" i="3"/>
  <c r="F1294" i="3"/>
  <c r="F1282" i="3"/>
  <c r="F1293" i="3"/>
  <c r="F1292" i="3"/>
  <c r="E28" i="1"/>
  <c r="D28" i="1" s="1"/>
  <c r="B28" i="1" s="1"/>
  <c r="E17" i="1"/>
  <c r="D17" i="1" s="1"/>
  <c r="B17" i="1" s="1"/>
  <c r="E13" i="1"/>
  <c r="D13" i="1" s="1"/>
  <c r="B13" i="1" s="1"/>
  <c r="E20" i="1"/>
  <c r="D20" i="1" s="1"/>
  <c r="B20" i="1" s="1"/>
  <c r="E27" i="1"/>
  <c r="D27" i="1" s="1"/>
  <c r="B27" i="1" s="1"/>
  <c r="V25" i="146"/>
  <c r="Q31" i="147"/>
  <c r="R25" i="146"/>
  <c r="S22" i="152"/>
  <c r="O31" i="147"/>
  <c r="P25" i="146"/>
  <c r="O22" i="152"/>
  <c r="T20" i="153"/>
  <c r="N25" i="146"/>
  <c r="M22" i="152"/>
  <c r="P20" i="153"/>
  <c r="K22" i="152"/>
  <c r="N20" i="153"/>
  <c r="AB33" i="148"/>
  <c r="L20" i="153"/>
  <c r="X33" i="148"/>
  <c r="V33" i="148"/>
  <c r="W31" i="147"/>
  <c r="T33" i="148"/>
  <c r="S31" i="147"/>
  <c r="F1261" i="3"/>
  <c r="F1249" i="3"/>
  <c r="F1260" i="3"/>
  <c r="F1248" i="3"/>
  <c r="F1259" i="3"/>
  <c r="F1247" i="3"/>
  <c r="F1246" i="3"/>
  <c r="F1245" i="3"/>
  <c r="F1263" i="3"/>
  <c r="F1262" i="3"/>
  <c r="E12" i="1"/>
  <c r="E19" i="1"/>
  <c r="D19" i="1" s="1"/>
  <c r="B19" i="1" s="1"/>
  <c r="F1288" i="3"/>
  <c r="F1287" i="3"/>
  <c r="F1279" i="3"/>
  <c r="F1278" i="3"/>
  <c r="F1289" i="3"/>
  <c r="F1277" i="3"/>
  <c r="E32" i="1"/>
  <c r="D32" i="1" s="1"/>
  <c r="B32" i="1" s="1"/>
  <c r="E29" i="1"/>
  <c r="D29" i="1" s="1"/>
  <c r="E31" i="1"/>
  <c r="E21" i="1"/>
  <c r="D21" i="1" s="1"/>
  <c r="B21" i="1" s="1"/>
  <c r="E23" i="1"/>
  <c r="D23" i="1" s="1"/>
  <c r="B23" i="1" s="1"/>
  <c r="E18" i="1"/>
  <c r="D18" i="1" s="1"/>
  <c r="B18" i="1" s="1"/>
  <c r="E15" i="1"/>
  <c r="D15" i="1" s="1"/>
  <c r="B15" i="1" s="1"/>
  <c r="E11" i="1"/>
  <c r="E30" i="1"/>
  <c r="D30" i="1" s="1"/>
  <c r="E24" i="1"/>
  <c r="D24" i="1" s="1"/>
  <c r="B24" i="1" s="1"/>
  <c r="E16" i="1"/>
  <c r="D16" i="1" s="1"/>
  <c r="B16" i="1" s="1"/>
  <c r="E25" i="1"/>
  <c r="D25" i="1" s="1"/>
  <c r="B25" i="1" s="1"/>
  <c r="E14" i="1"/>
  <c r="D14" i="1" s="1"/>
  <c r="B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2" authorId="0" shapeId="0" xr:uid="{B647094D-6965-45F9-A059-C9C4ACD0605D}">
      <text>
        <r>
          <rPr>
            <b/>
            <sz val="9"/>
            <color indexed="81"/>
            <rFont val="ＭＳ Ｐゴシック"/>
            <family val="3"/>
            <charset val="128"/>
          </rPr>
          <t>左側のプルダウンを選択すると
自動的に区分内容が表示されます</t>
        </r>
      </text>
    </comment>
    <comment ref="R113" authorId="0" shapeId="0" xr:uid="{57BD6FAE-0905-415A-A6E6-11EC221A613A}">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D16</author>
    <author>I-PEC-S5</author>
  </authors>
  <commentList>
    <comment ref="D19" authorId="0" shapeId="0" xr:uid="{C8FC8ECF-9B70-49F4-86EB-E86C3BCE9911}">
      <text>
        <r>
          <rPr>
            <b/>
            <sz val="9"/>
            <color indexed="81"/>
            <rFont val="MS P ゴシック"/>
            <family val="3"/>
            <charset val="128"/>
          </rPr>
          <t>選んで下さい</t>
        </r>
      </text>
    </comment>
    <comment ref="M53" authorId="1" shapeId="0" xr:uid="{9380E743-EDE7-4F78-963B-E75DB93BE645}">
      <text>
        <r>
          <rPr>
            <sz val="9"/>
            <color indexed="81"/>
            <rFont val="ＭＳ Ｐゴシック"/>
            <family val="3"/>
            <charset val="128"/>
          </rPr>
          <t>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L16" authorId="0" shapeId="0" xr:uid="{EE133323-715E-402E-A93F-366F22505FD9}">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R8" authorId="0" shapeId="0" xr:uid="{D96F5087-89BA-41E4-996A-3B3C4D8C110A}">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D16</author>
  </authors>
  <commentList>
    <comment ref="Z35" authorId="0" shapeId="0" xr:uid="{2B1270E6-D74A-4DC6-A476-9A6AF0EBDB26}">
      <text>
        <r>
          <rPr>
            <b/>
            <sz val="9"/>
            <color indexed="81"/>
            <rFont val="MS P ゴシック"/>
            <family val="3"/>
            <charset val="128"/>
          </rPr>
          <t>リストから選んで下さい</t>
        </r>
      </text>
    </comment>
    <comment ref="X36" authorId="0" shapeId="0" xr:uid="{4C4AC107-44AE-4354-82CA-3CF05955B9FD}">
      <text>
        <r>
          <rPr>
            <b/>
            <sz val="9"/>
            <color indexed="81"/>
            <rFont val="MS P ゴシック"/>
            <family val="3"/>
            <charset val="128"/>
          </rPr>
          <t>一般建設業か特定建設業の区分を選択して下さい</t>
        </r>
      </text>
    </comment>
    <comment ref="Z36" authorId="0" shapeId="0" xr:uid="{748F4F51-7C1D-4DCD-8A17-C06A18865AAD}">
      <text>
        <r>
          <rPr>
            <b/>
            <sz val="9"/>
            <color indexed="81"/>
            <rFont val="MS P ゴシック"/>
            <family val="3"/>
            <charset val="128"/>
          </rPr>
          <t>許可の年度を記入</t>
        </r>
      </text>
    </comment>
  </commentList>
</comments>
</file>

<file path=xl/sharedStrings.xml><?xml version="1.0" encoding="utf-8"?>
<sst xmlns="http://schemas.openxmlformats.org/spreadsheetml/2006/main" count="5941" uniqueCount="3246">
  <si>
    <t>シート名
※重複不可</t>
  </si>
  <si>
    <t>showsheetflag_****
  1=表示
  0=削除
 -1=非表示
 -2=シート非表示（再表示不可）</t>
  </si>
  <si>
    <t>備考</t>
  </si>
  <si>
    <t>出力処理</t>
  </si>
  <si>
    <t>出力条件</t>
  </si>
  <si>
    <t>建築工事届</t>
  </si>
  <si>
    <t>建築計画概要書(第三面)</t>
  </si>
  <si>
    <t>委任状</t>
  </si>
  <si>
    <t>届出関係</t>
  </si>
  <si>
    <t>工事監理者選定届（大阪府下）</t>
  </si>
  <si>
    <t>追加説明書（確認）</t>
  </si>
  <si>
    <t>追加説明書（中間）</t>
  </si>
  <si>
    <t>追加説明書（完了）</t>
  </si>
  <si>
    <t>dSTART</t>
  </si>
  <si>
    <t>dSHEET</t>
  </si>
  <si>
    <t>DATA</t>
  </si>
  <si>
    <t>cst_DATA</t>
  </si>
  <si>
    <t>項目リスト</t>
  </si>
  <si>
    <t>リスト</t>
  </si>
  <si>
    <t>用途の区分</t>
  </si>
  <si>
    <t>建築計画概要書_第三面</t>
  </si>
  <si>
    <t>追加説明書_確認申請</t>
  </si>
  <si>
    <t>追加説明書_中間検査</t>
  </si>
  <si>
    <t>追加説明書_完了検査</t>
  </si>
  <si>
    <t>追加様式</t>
  </si>
  <si>
    <t>監理者選任_大阪府下のみ</t>
  </si>
  <si>
    <t>軽微な変更</t>
  </si>
  <si>
    <t>誤記訂正届</t>
  </si>
  <si>
    <t>建築主等変更</t>
  </si>
  <si>
    <t>別紙</t>
  </si>
  <si>
    <t>選定届</t>
  </si>
  <si>
    <t>確認取り下げ届_確認済証交付前</t>
  </si>
  <si>
    <t>工事取りやめ届_確認済証交付後</t>
  </si>
  <si>
    <t>非表示予定</t>
  </si>
  <si>
    <t>説明</t>
  </si>
  <si>
    <t>NoObject</t>
  </si>
  <si>
    <t>※最後にNoObjectを記述</t>
  </si>
  <si>
    <t>※このシートをアクティブにして保存すること</t>
  </si>
  <si>
    <t>日付</t>
  </si>
  <si>
    <t>変更内容</t>
  </si>
  <si>
    <t>CIASからIPECへ移行</t>
  </si>
  <si>
    <t>三木</t>
  </si>
  <si>
    <t>建築工事届、概要書三面、委任状のみ表示</t>
  </si>
  <si>
    <t>検証版利用時に追加帳票等を確認してもらう</t>
  </si>
  <si>
    <t>委任状に建築主情報を追加</t>
  </si>
  <si>
    <t>佐藤</t>
  </si>
  <si>
    <t>委任状　表示修正</t>
  </si>
  <si>
    <t>田口</t>
  </si>
  <si>
    <t>シート追加（追加説明書確認・中間・完了、追加様式、監理者選任（大阪府下のみ））</t>
  </si>
  <si>
    <t>三木香澄</t>
  </si>
  <si>
    <t>届出関係のリンク先修正、監理者選定届のリスト更新</t>
  </si>
  <si>
    <t>説明シートのスタイル修正</t>
  </si>
  <si>
    <t>届出リンク先修正</t>
  </si>
  <si>
    <t>追加説明書_完了検査　修正</t>
  </si>
  <si>
    <t>項目名</t>
  </si>
  <si>
    <t>セル名</t>
  </si>
  <si>
    <t>データ</t>
  </si>
  <si>
    <t>Customセル名</t>
  </si>
  <si>
    <t>Customデータ</t>
  </si>
  <si>
    <t>タイトル</t>
  </si>
  <si>
    <t>**_output_title</t>
  </si>
  <si>
    <t>cst__output_title</t>
  </si>
  <si>
    <t>出力シート名</t>
  </si>
  <si>
    <t>**_output_sheetname</t>
  </si>
  <si>
    <t>cst__output_sheetname</t>
  </si>
  <si>
    <t>区別</t>
  </si>
  <si>
    <t>**wsjob_TARGET_KIND__label</t>
  </si>
  <si>
    <t>建築物</t>
  </si>
  <si>
    <t>cst_wsjob_TARGET_KIND__label</t>
  </si>
  <si>
    <t>申請書セット種別</t>
  </si>
  <si>
    <t>**wsjob_JOB_SET_KIND</t>
  </si>
  <si>
    <t>cst_wsjob_JOB_SET_KIND</t>
  </si>
  <si>
    <t>0=不明な申請、100=基準法、200=適合証明、
300=性能評価</t>
  </si>
  <si>
    <t>申請対象</t>
  </si>
  <si>
    <t>**wsjob_TARGET_KIND</t>
  </si>
  <si>
    <t>cst_wsjob_TARGET_KIND</t>
  </si>
  <si>
    <t>1=建築物、
2=昇降機、3=建築設備、
4=工作物(88-1)、5=工作物(88-2)</t>
  </si>
  <si>
    <t>cst_wsjob_KENTIKUBUTU_box</t>
  </si>
  <si>
    <t>昇降機</t>
  </si>
  <si>
    <t>cst_wsjob_SYOUKOUKI_box</t>
  </si>
  <si>
    <t>昇降機以外の建築設備</t>
  </si>
  <si>
    <t>cst_wsjob_KENTIKUSETUBI_box</t>
  </si>
  <si>
    <t>工作物（88-1）</t>
  </si>
  <si>
    <t>cst_wsjob_KOUSAKUBUTU_1_box</t>
  </si>
  <si>
    <t>工作物（88-2）</t>
  </si>
  <si>
    <t>cst_wsjob_KOUSAKUBUTU_2_box</t>
  </si>
  <si>
    <t>申請書種別</t>
  </si>
  <si>
    <t>**wsjob_JOB_KIND</t>
  </si>
  <si>
    <t>cst_wsjob_JOB_KIND</t>
  </si>
  <si>
    <t>＜基準法＞
101=確認申請、102=計画変更、103=中間検査、104=完了検査
＜その他申請＞
999=その他申請</t>
  </si>
  <si>
    <t>cst_wsjob_JOB_KIND_kakunin_box</t>
  </si>
  <si>
    <t>cst_wsjob_JOB_KIND_inter_box</t>
  </si>
  <si>
    <t>cst_wsjob_JOB_KIND_final_box</t>
  </si>
  <si>
    <t>確認時の中間申請書出力処理用</t>
  </si>
  <si>
    <t>基準法の種別判定</t>
  </si>
  <si>
    <t>chk_JOB_KIND_kakunin</t>
  </si>
  <si>
    <t>1：確認（確認, 計変）,3：中間, 4：完了</t>
  </si>
  <si>
    <t>確認時 - 特定工程1の入力あり</t>
  </si>
  <si>
    <t>chk_INTER1_state_in_conf</t>
  </si>
  <si>
    <t>確認時 - 特定工程2の入力あり</t>
  </si>
  <si>
    <t>chk_INTER2_state_in_conf</t>
  </si>
  <si>
    <t>確認時 - 特定工程3の入力あり</t>
  </si>
  <si>
    <t>chk_INTER3_state_in_conf</t>
  </si>
  <si>
    <t>種別（中間時 - 特定工程別）</t>
  </si>
  <si>
    <t>chk_INTER_state_in_final</t>
  </si>
  <si>
    <t>10：確認（確認, 計変）, 30：中間_前0, 31：中間_前1, 32：中間_前2, 40：完了</t>
  </si>
  <si>
    <t>確認済証番号</t>
  </si>
  <si>
    <t>cst_ISSUE_NO_select</t>
  </si>
  <si>
    <t>確認：自分, 検査：直前 ※ 確認は受理後有効</t>
  </si>
  <si>
    <t>cst_ISSUE_DATE_select</t>
  </si>
  <si>
    <t>事前受付日</t>
  </si>
  <si>
    <t>**shinsei_PROVO_DATE</t>
  </si>
  <si>
    <t/>
  </si>
  <si>
    <t>cst_shinsei_PROVO_DATE</t>
  </si>
  <si>
    <t>事前受付番号</t>
  </si>
  <si>
    <t>**shinsei_PROVO_NO</t>
  </si>
  <si>
    <t>cst_shinsei_PROVO_NO</t>
  </si>
  <si>
    <t>受付システムテーブルから取得した情報（受理後）</t>
  </si>
  <si>
    <t>受付日</t>
  </si>
  <si>
    <t>**shinsei_ACCEPT_DATE</t>
  </si>
  <si>
    <t>cst_shinsei_ACCEPT_DATE</t>
  </si>
  <si>
    <t>引受番号</t>
  </si>
  <si>
    <t>**shinsei_UKETUKE_NO</t>
  </si>
  <si>
    <t>cst_shinsei_UKETUKE_NO</t>
  </si>
  <si>
    <t>引受日</t>
  </si>
  <si>
    <t>**shinsei_HIKIUKE_DATE</t>
  </si>
  <si>
    <t>cst_shinsei_HIKIUKE_DATE</t>
  </si>
  <si>
    <t>**shinsei_ISSUE_NO</t>
  </si>
  <si>
    <t>cst_shinsei_ISSUE_NO</t>
  </si>
  <si>
    <t>cst_shinsei_ISSUE_NO_disp</t>
  </si>
  <si>
    <t>**shinsei_KAKU_SUMI_NO</t>
  </si>
  <si>
    <t>R05確認建築IPEC70003</t>
  </si>
  <si>
    <t>cst_shinsei_KAKU_SUMI_NO</t>
  </si>
  <si>
    <t>確認済証交付日</t>
  </si>
  <si>
    <t>交付日</t>
  </si>
  <si>
    <t>**shinsei_ISSUE_DATE</t>
  </si>
  <si>
    <t>cst_shinsei_ISSUE_DATE</t>
  </si>
  <si>
    <t>確認済証交付者</t>
  </si>
  <si>
    <t>**shinsei_ISSUE_KOUFU_NAME</t>
  </si>
  <si>
    <t>cst_shinsei_ISSUE_KOUFU_NAME</t>
  </si>
  <si>
    <t>受付システム第六面</t>
  </si>
  <si>
    <t>ルート１</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</si>
  <si>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</si>
  <si>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</si>
  <si>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</si>
  <si>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</si>
  <si>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</si>
  <si>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</si>
  <si>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</si>
  <si>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</si>
  <si>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提出機関先</t>
  </si>
  <si>
    <t>**wskakunin_KIKAN_NAME</t>
  </si>
  <si>
    <t>株式会社I-PEC</t>
  </si>
  <si>
    <t>cst_wskakunin_KIKAN_NAME</t>
  </si>
  <si>
    <t>申請日</t>
  </si>
  <si>
    <t>**wskakunin_SHINSEI_DATE</t>
  </si>
  <si>
    <t>cst_wskakunin_SHINSEI_DATE</t>
  </si>
  <si>
    <t>直前の確認申請情報</t>
  </si>
  <si>
    <t>**wskakunin_LAST_ISSUE_NO</t>
  </si>
  <si>
    <t>cst_wskakunin_LAST_ISSUE_NO</t>
  </si>
  <si>
    <t>**wskakunin_LAST_ISSUE_DATE</t>
  </si>
  <si>
    <t>cst_wskakunin_LAST_ISSUE_DATE</t>
  </si>
  <si>
    <t>**wskakunin_LAST_ISSUE_NAME</t>
  </si>
  <si>
    <t>cst_wskakunin_LAST_ISSUE_NAME</t>
  </si>
  <si>
    <t>計画変更の概要</t>
  </si>
  <si>
    <t>**wskakunin_P1_HENKOU_GAIYOU</t>
  </si>
  <si>
    <t>cst_wskakunin_P1_HENKOU_GAIYOU</t>
  </si>
  <si>
    <t>確認済証番号（届出用）</t>
  </si>
  <si>
    <t>cst_shinsei_KAKUNIN_ISSUE_NO</t>
  </si>
  <si>
    <t>　※確認かそれ以外かで判別する</t>
  </si>
  <si>
    <t>確認済証交付者（届出用）</t>
  </si>
  <si>
    <t>cst_ISSUE_KOUFU_NAME_select</t>
  </si>
  <si>
    <t>確認済証交付日（届出用）</t>
  </si>
  <si>
    <t>cst_shinsei_KAKUNIN_KOUFU_DATE</t>
  </si>
  <si>
    <t>**wskakunin_PAGE1_ALTERATION_NOTE</t>
  </si>
  <si>
    <t>cst_wskakunin_PAGE1_ALTERATION_NOTE</t>
  </si>
  <si>
    <t>申請者</t>
  </si>
  <si>
    <t>申請者名</t>
  </si>
  <si>
    <t>**wskakunin_APPLICANT_NAME</t>
  </si>
  <si>
    <t>猫山　花子</t>
  </si>
  <si>
    <t>cst_wskakunin_APPLICANT_NAME</t>
  </si>
  <si>
    <t>建築主</t>
  </si>
  <si>
    <t>会社名</t>
  </si>
  <si>
    <t>**wskakunin_owner1_JIMU_NAME</t>
  </si>
  <si>
    <t>cst_wskakunin_owner1_JIMU_NAME</t>
  </si>
  <si>
    <t>会社名フリガナ</t>
  </si>
  <si>
    <t>**wskakunin_owner1_JIMU_NAME_KANA</t>
  </si>
  <si>
    <t>cst_wskakunin_owner1_JIMU_NAME_KANA</t>
  </si>
  <si>
    <t>役職</t>
  </si>
  <si>
    <t>**wskakunin_owner1_POST</t>
  </si>
  <si>
    <t>cst_wskakunin_owner1_POST</t>
  </si>
  <si>
    <t>役職フリガナ</t>
  </si>
  <si>
    <t>**wskakunin_owner1_POST_KANA</t>
  </si>
  <si>
    <t>cst_wskakunin_owner1_POST_KANA</t>
  </si>
  <si>
    <t>氏名</t>
  </si>
  <si>
    <t>**wskakunin_owner1_NAME</t>
  </si>
  <si>
    <t>cst_wskakunin_owner1_NAME</t>
  </si>
  <si>
    <t>氏名フリガナ</t>
  </si>
  <si>
    <t>**wskakunin_owner1_NAME_KANA</t>
  </si>
  <si>
    <t>ネコヤマ　ハナコ</t>
  </si>
  <si>
    <t>cst_wskakunin_owner1_NAME_KANA</t>
  </si>
  <si>
    <t>会社名フリガナ&lt;スペース&gt;役職フリガナ&lt;スペース&gt;氏名フリガナ</t>
  </si>
  <si>
    <t>cst_wskakunin_owner1__space_KANA</t>
  </si>
  <si>
    <t>会社名フリガナ&lt;スペース&gt;役職フリガナ&lt;スペース&gt;氏名フリガナ　常に表示（一行表示）</t>
  </si>
  <si>
    <t>cst_wskakunin_owner1__space_KANA2</t>
  </si>
  <si>
    <t>郵便番号</t>
  </si>
  <si>
    <t>**wskakunin_owner1_ZIP</t>
  </si>
  <si>
    <t>567-0009</t>
  </si>
  <si>
    <t>cst_wskakunin_owner1_ZIP</t>
  </si>
  <si>
    <t>cst_wskakunin_owner1_ZIP2</t>
  </si>
  <si>
    <t>住所</t>
  </si>
  <si>
    <t>**wskakunin_owner1__address</t>
  </si>
  <si>
    <t>大阪府茨木市山手台2-2-2</t>
  </si>
  <si>
    <t>cst_wskakunin_owner1__address</t>
  </si>
  <si>
    <t>電話番号</t>
  </si>
  <si>
    <t>**wskakunin_owner1_TEL</t>
  </si>
  <si>
    <t>なし</t>
  </si>
  <si>
    <t>cst_wskakunin_owner1_TEL</t>
  </si>
  <si>
    <t>cst_wskakunin_owner1_TEL_dsp</t>
  </si>
  <si>
    <t>会社名&lt;スペース&gt;役職&lt;スペース&gt;氏名</t>
  </si>
  <si>
    <t>cst_wskakunin_owner1__space</t>
  </si>
  <si>
    <t>役職&lt;スペース&gt;氏名</t>
  </si>
  <si>
    <t>cst_wskakunin_owner1__space2</t>
  </si>
  <si>
    <t>会社名&lt;改行&gt;
役職&lt;スペース&gt;氏名</t>
  </si>
  <si>
    <t>cst_wskakunin_owner1__space3</t>
  </si>
  <si>
    <t>会社名&lt;スペース&gt;役職&lt;スペース&gt;氏名　常に表示（一行表示）</t>
  </si>
  <si>
    <t>cst_wskakunin_owner1__space4</t>
  </si>
  <si>
    <t>氏名または会社名</t>
  </si>
  <si>
    <t>cst_wskakunin_owner1__line1</t>
  </si>
  <si>
    <t>役職＋氏名 ※会社時のみ</t>
  </si>
  <si>
    <t>cst_wskakunin_owner1__line2</t>
  </si>
  <si>
    <t>建築主2</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</si>
  <si>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</si>
  <si>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</si>
  <si>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</si>
  <si>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</si>
  <si>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</si>
  <si>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</si>
  <si>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</si>
  <si>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</si>
  <si>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</si>
  <si>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</si>
  <si>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</si>
  <si>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</si>
  <si>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</si>
  <si>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</si>
  <si>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</si>
  <si>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</si>
  <si>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</si>
  <si>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</si>
  <si>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cst_wskakunin_owner2__space</t>
  </si>
  <si>
    <t>cst_wskakunin_owner2__space2</t>
  </si>
  <si>
    <t>cst_wskakunin_owner2__space3</t>
  </si>
  <si>
    <t>建築主3</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</si>
  <si>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</si>
  <si>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</si>
  <si>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</si>
  <si>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</si>
  <si>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</si>
  <si>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</si>
  <si>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</si>
  <si>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</si>
  <si>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</si>
  <si>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</si>
  <si>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</si>
  <si>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</si>
  <si>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</si>
  <si>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</si>
  <si>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</si>
  <si>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</si>
  <si>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</si>
  <si>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</si>
  <si>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cst_wskakunin_owner3__space</t>
  </si>
  <si>
    <t>cst_wskakunin_owner3__space2</t>
  </si>
  <si>
    <t>建築主4</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</si>
  <si>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</si>
  <si>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</si>
  <si>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</si>
  <si>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</si>
  <si>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</si>
  <si>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</si>
  <si>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</si>
  <si>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</si>
  <si>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</si>
  <si>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</si>
  <si>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</si>
  <si>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</si>
  <si>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</si>
  <si>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</si>
  <si>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</si>
  <si>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</si>
  <si>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</si>
  <si>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</si>
  <si>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cst_wskakunin_owner4__space</t>
  </si>
  <si>
    <t>建築主5</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</si>
  <si>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</si>
  <si>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</si>
  <si>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</si>
  <si>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</si>
  <si>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</si>
  <si>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</si>
  <si>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</si>
  <si>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</si>
  <si>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</si>
  <si>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</si>
  <si>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</si>
  <si>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</si>
  <si>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</si>
  <si>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</si>
  <si>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</si>
  <si>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</si>
  <si>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</si>
  <si>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</si>
  <si>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cst_wskakunin_owner5__space</t>
  </si>
  <si>
    <t>建築主6</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</si>
  <si>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</si>
  <si>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</si>
  <si>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</si>
  <si>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</si>
  <si>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</si>
  <si>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</si>
  <si>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</si>
  <si>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</si>
  <si>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</si>
  <si>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</si>
  <si>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</si>
  <si>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</si>
  <si>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</si>
  <si>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</si>
  <si>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</si>
  <si>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</si>
  <si>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</si>
  <si>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</si>
  <si>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cst_wskakunin_owner6__space3</t>
  </si>
  <si>
    <t>建築主7</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</si>
  <si>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</si>
  <si>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</si>
  <si>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</si>
  <si>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</si>
  <si>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</si>
  <si>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</si>
  <si>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</si>
  <si>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</si>
  <si>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</si>
  <si>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</si>
  <si>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</si>
  <si>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</si>
  <si>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</si>
  <si>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</si>
  <si>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</si>
  <si>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</si>
  <si>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</si>
  <si>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</si>
  <si>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建築主8</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</si>
  <si>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</si>
  <si>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</si>
  <si>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</si>
  <si>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</si>
  <si>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</si>
  <si>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</si>
  <si>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</si>
  <si>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</si>
  <si>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</si>
  <si>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</si>
  <si>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</si>
  <si>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</si>
  <si>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</si>
  <si>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</si>
  <si>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</si>
  <si>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</si>
  <si>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</si>
  <si>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</si>
  <si>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建築主9</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</si>
  <si>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</si>
  <si>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</si>
  <si>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</si>
  <si>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</si>
  <si>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</si>
  <si>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</si>
  <si>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</si>
  <si>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</si>
  <si>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</si>
  <si>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</si>
  <si>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</si>
  <si>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</si>
  <si>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</si>
  <si>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</si>
  <si>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</si>
  <si>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</si>
  <si>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</si>
  <si>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</si>
  <si>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t>
  </si>
  <si>
    <t>資格一括</t>
  </si>
  <si>
    <t>**wskakunin_dairi1__sikaku</t>
  </si>
  <si>
    <t>一級建築士大臣登録第001100号</t>
  </si>
  <si>
    <t>cst_wskakunin_dairi1__sikaku</t>
  </si>
  <si>
    <t>資格</t>
  </si>
  <si>
    <t>**wskakunin_dairi1_SIKAKU__label</t>
  </si>
  <si>
    <t>一級</t>
  </si>
  <si>
    <t>cst_wskakunin_dairi1_SIKAKU</t>
  </si>
  <si>
    <t>登録機関</t>
  </si>
  <si>
    <t>**wskakunin_dairi1_TOUROKU_KIKAN__label</t>
  </si>
  <si>
    <t>大臣</t>
  </si>
  <si>
    <t>cst_wskakunin_dairi1_TOUROKU_KIKAN</t>
  </si>
  <si>
    <t>建築士登録番号</t>
  </si>
  <si>
    <t>**wskakunin_dairi1_KENTIKUSI_NO</t>
  </si>
  <si>
    <t>001100</t>
  </si>
  <si>
    <t>cst_wskakunin_dairi1_KENTIKUSI_NO</t>
  </si>
  <si>
    <t>**wsflat35_dairi1_POST</t>
  </si>
  <si>
    <t>cst_wsflat35_dairi1_POST</t>
  </si>
  <si>
    <t>**wskakunin_dairi1_NAME</t>
  </si>
  <si>
    <t>現場　猫</t>
  </si>
  <si>
    <t>cst_wskakunin_dairi1_NAME</t>
  </si>
  <si>
    <t>フリガナ</t>
  </si>
  <si>
    <t>**wskakunin_dairi1_NAME_KANA</t>
  </si>
  <si>
    <t>cst_wskakunin_dairi1_NAME_KANA</t>
  </si>
  <si>
    <t>事務所 資格一括</t>
  </si>
  <si>
    <t>**wskakunin_dairi1_JIMU__sikaku</t>
  </si>
  <si>
    <t>一級建築士事務所京都府知事登録第03A00000号</t>
  </si>
  <si>
    <t>cst_wskakunin_dairi1_JIMU__sikaku</t>
  </si>
  <si>
    <t>事務所 資格</t>
  </si>
  <si>
    <t>**wskakunin_dairi1_JIMU_SIKAKU__label</t>
  </si>
  <si>
    <t>cst_wskakunin_dairi1_JIMU_SIKAKU</t>
  </si>
  <si>
    <t>事務所　登録機関</t>
  </si>
  <si>
    <t>**wskakunin_dairi1_JIMU_TOUROKU_KIKAN__label</t>
  </si>
  <si>
    <t>京都府</t>
  </si>
  <si>
    <t>cst_wskakunin_dairi1_JIMU_TOUROKU_KIKAN</t>
  </si>
  <si>
    <t>事務所　許可番号</t>
  </si>
  <si>
    <t>**wskakunin_dairi1_JIMU_NO</t>
  </si>
  <si>
    <t>03A00000</t>
  </si>
  <si>
    <t>cst_wskakunin_dairi1_JIMU_NO</t>
  </si>
  <si>
    <t>事務所名</t>
  </si>
  <si>
    <t>**wskakunin_dairi1_JIMU_NAME</t>
  </si>
  <si>
    <t>猫建築事務所</t>
  </si>
  <si>
    <t>cst_wskakunin_dairi1_JIMU_NAME</t>
  </si>
  <si>
    <t>**wskakunin_dairi1_ZIP</t>
  </si>
  <si>
    <t>604-0001</t>
  </si>
  <si>
    <t>cst_wskakunin_dairi1_ZIP</t>
  </si>
  <si>
    <t>所在地</t>
  </si>
  <si>
    <t>**wskakunin_dairi1__address</t>
  </si>
  <si>
    <t>京都府京都市中京区道場町1</t>
  </si>
  <si>
    <t>cst_wskakunin_dairi1__address</t>
  </si>
  <si>
    <t>**wskakunin_dairi1_TEL</t>
  </si>
  <si>
    <t>075-000-0000</t>
  </si>
  <si>
    <t>cst_wskakunin_dairi1_TEL</t>
  </si>
  <si>
    <t>cst_wskakunin_dairi1_TEL_dsp</t>
  </si>
  <si>
    <t>FAX番号</t>
  </si>
  <si>
    <t>**wskakunin_dairi1_FAX</t>
  </si>
  <si>
    <t>cst_wskakunin_dairi1_FAX</t>
  </si>
  <si>
    <t>会社名&lt;スペース&gt;氏名</t>
  </si>
  <si>
    <t>cst_wskakunin_dairi1__space</t>
  </si>
  <si>
    <t>cst_wskakunin_dairi1__space2</t>
  </si>
  <si>
    <t>代理者2</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</si>
  <si>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</si>
  <si>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</si>
  <si>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</si>
  <si>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</si>
  <si>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</si>
  <si>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</si>
  <si>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</si>
  <si>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</si>
  <si>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</si>
  <si>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</si>
  <si>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</si>
  <si>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</si>
  <si>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</si>
  <si>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</si>
  <si>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</si>
  <si>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</si>
  <si>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</si>
  <si>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</si>
  <si>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</si>
  <si>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</si>
  <si>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</si>
  <si>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</si>
  <si>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</si>
  <si>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</si>
  <si>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</si>
  <si>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</si>
  <si>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</si>
  <si>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</si>
  <si>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</si>
  <si>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</si>
  <si>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</si>
  <si>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代理者3</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</si>
  <si>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</si>
  <si>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</si>
  <si>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</si>
  <si>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</si>
  <si>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</si>
  <si>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</si>
  <si>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</si>
  <si>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</si>
  <si>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</si>
  <si>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</si>
  <si>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</si>
  <si>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</si>
  <si>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</si>
  <si>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</si>
  <si>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</si>
  <si>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</si>
  <si>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</si>
  <si>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</si>
  <si>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</si>
  <si>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</si>
  <si>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</si>
  <si>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</si>
  <si>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</si>
  <si>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</si>
  <si>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</si>
  <si>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</si>
  <si>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</si>
  <si>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</si>
  <si>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</si>
  <si>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</si>
  <si>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</si>
  <si>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代理者4</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</si>
  <si>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</si>
  <si>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</si>
  <si>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</si>
  <si>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</si>
  <si>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</si>
  <si>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</si>
  <si>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</si>
  <si>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</si>
  <si>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</si>
  <si>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</si>
  <si>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</si>
  <si>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</si>
  <si>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</si>
  <si>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</si>
  <si>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</si>
  <si>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</si>
  <si>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</si>
  <si>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</si>
  <si>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</si>
  <si>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</si>
  <si>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</si>
  <si>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</si>
  <si>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</si>
  <si>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</si>
  <si>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</si>
  <si>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</si>
  <si>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</si>
  <si>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</si>
  <si>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</si>
  <si>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</si>
  <si>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</si>
  <si>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代理者5</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</si>
  <si>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</si>
  <si>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</si>
  <si>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</si>
  <si>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</si>
  <si>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</si>
  <si>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</si>
  <si>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</si>
  <si>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</si>
  <si>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</si>
  <si>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</si>
  <si>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</si>
  <si>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</si>
  <si>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</si>
  <si>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</si>
  <si>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</si>
  <si>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</si>
  <si>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</si>
  <si>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</si>
  <si>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</si>
  <si>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</si>
  <si>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</si>
  <si>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</si>
  <si>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</si>
  <si>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</si>
  <si>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</si>
  <si>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</si>
  <si>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</si>
  <si>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</si>
  <si>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</si>
  <si>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</si>
  <si>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</si>
  <si>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設計者1</t>
  </si>
  <si>
    <t>**wskakunin_sekkei1__sikaku</t>
  </si>
  <si>
    <t>cst_wskakunin_sekkei1__sikaku</t>
  </si>
  <si>
    <t>**wskakunin_sekkei1_SIKAKU__label</t>
  </si>
  <si>
    <t>cst_wskakunin_sekkei1_SIKAKU</t>
  </si>
  <si>
    <t>**wskakunin_sekkei1_TOUROKU_KIKAN__label</t>
  </si>
  <si>
    <t>cst_wskakunin_sekkei1_TOUROKU_KIKAN</t>
  </si>
  <si>
    <t>**wskakunin_sekkei1_KENTIKUSI_NO</t>
  </si>
  <si>
    <t>cst_wskakunin_sekkei1_KENTIKUSI_NO</t>
  </si>
  <si>
    <t>**wskakunin_sekkei1_NAME</t>
  </si>
  <si>
    <t>cst_wskakunin_sekkei1_NAME</t>
  </si>
  <si>
    <t>**wskakunin_sekkei1_JIMU__sikaku</t>
  </si>
  <si>
    <t>cst_wskakunin_sekkei1_JIMU__sikaku</t>
  </si>
  <si>
    <t>**wskakunin_sekkei1_JIMU_SIKAKU__label</t>
  </si>
  <si>
    <t>cst_wskakunin_sekkei1_JIMU_SIKAKU</t>
  </si>
  <si>
    <t>**wskakunin_sekkei1_JIMU_TOUROKU_KIKAN__label</t>
  </si>
  <si>
    <t>cst_wskakunin_sekkei1_JIMU_TOUROKU_KIKAN</t>
  </si>
  <si>
    <t>**wskakunin_sekkei1_JIMU_NO</t>
  </si>
  <si>
    <t>cst_wskakunin_sekkei1_JIMU_NO</t>
  </si>
  <si>
    <t>**wskakunin_sekkei1_JIMU_NAME</t>
  </si>
  <si>
    <t>cst_wskakunin_sekkei1_JIMU_NAME</t>
  </si>
  <si>
    <t>事務所名＋氏名</t>
  </si>
  <si>
    <t>cst_wskakunin_sekkei1_jimuname_name</t>
  </si>
  <si>
    <t>**wskakunin_sekkei1_ZIP</t>
  </si>
  <si>
    <t>cst_wskakunin_sekkei1_ZIP</t>
  </si>
  <si>
    <t>DOC</t>
  </si>
  <si>
    <t>**wskakunin_sekkei1__address</t>
  </si>
  <si>
    <t>cst_wskakunin_sekkei1__address</t>
  </si>
  <si>
    <t>**wskakunin_sekkei1_TEL</t>
  </si>
  <si>
    <t>cst_wskakunin_sekkei1_TEL</t>
  </si>
  <si>
    <t>設計図書</t>
  </si>
  <si>
    <t>**wskakunin_sekkei1_DOC</t>
  </si>
  <si>
    <t>全ての設計図書</t>
  </si>
  <si>
    <t>cst_wskakunin_sekkei1_DOC</t>
  </si>
  <si>
    <t>設計者2</t>
  </si>
  <si>
    <t>**wskakunin_sekkei2__sikaku</t>
  </si>
  <si>
    <t>cst_wskakunin_sekkei2__sikaku</t>
  </si>
  <si>
    <t>**wskakunin_sekkei2_SIKAKU__label</t>
  </si>
  <si>
    <t>cst_wskakunin_sekkei2_SIKAKU</t>
  </si>
  <si>
    <t>**wskakunin_sekkei2_TOUROKU_KIKAN__label</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</si>
  <si>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</si>
  <si>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</si>
  <si>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</si>
  <si>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</si>
  <si>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</si>
  <si>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</si>
  <si>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</si>
  <si>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</si>
  <si>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cst_wskakunin_sekkei2_JIMU_SIKAKU</t>
  </si>
  <si>
    <t>**wskakunin_sekkei2_JIMU_TOUROKU_KIKAN__label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</si>
  <si>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</si>
  <si>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</si>
  <si>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</si>
  <si>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</si>
  <si>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</si>
  <si>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</si>
  <si>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</si>
  <si>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</si>
  <si>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</si>
  <si>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</si>
  <si>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</si>
  <si>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</si>
  <si>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</si>
  <si>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</si>
  <si>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設計者3</t>
  </si>
  <si>
    <t>**wskakunin_sekkei3__sikaku</t>
  </si>
  <si>
    <t>cst_wskakunin_sekkei3__sikaku</t>
  </si>
  <si>
    <t>**wskakunin_sekkei3_SIKAKU__label</t>
  </si>
  <si>
    <t>cst_wskakunin_sekkei3_SIKAKU</t>
  </si>
  <si>
    <t>**wskakunin_sekkei3_TOUROKU_KIKAN__label</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</si>
  <si>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</si>
  <si>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</si>
  <si>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</si>
  <si>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</si>
  <si>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</si>
  <si>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</si>
  <si>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</si>
  <si>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</si>
  <si>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cst_wskakunin_sekkei3_JIMU_SIKAKU</t>
  </si>
  <si>
    <t>**wskakunin_sekkei3_JIMU_TOUROKU_KIKAN__label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</si>
  <si>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</si>
  <si>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</si>
  <si>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</si>
  <si>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</si>
  <si>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</si>
  <si>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</si>
  <si>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</si>
  <si>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</si>
  <si>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</si>
  <si>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</si>
  <si>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</si>
  <si>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</si>
  <si>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</si>
  <si>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</si>
  <si>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設計者4</t>
  </si>
  <si>
    <t>**wskakunin_sekkei4__sikaku</t>
  </si>
  <si>
    <t>cst_wskakunin_sekkei4__sikaku</t>
  </si>
  <si>
    <t>**wskakunin_sekkei4_SIKAKU__label</t>
  </si>
  <si>
    <t>cst_wskakunin_sekkei4_SIKAKU</t>
  </si>
  <si>
    <t>**wskakunin_sekkei4_TOUROKU_KIKAN__label</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</si>
  <si>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</si>
  <si>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</si>
  <si>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</si>
  <si>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</si>
  <si>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</si>
  <si>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</si>
  <si>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</si>
  <si>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</si>
  <si>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cst_wskakunin_sekkei4_JIMU_SIKAKU</t>
  </si>
  <si>
    <t>**wskakunin_sekkei4_JIMU_TOUROKU_KIKAN__label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</si>
  <si>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</si>
  <si>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</si>
  <si>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</si>
  <si>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</si>
  <si>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</si>
  <si>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</si>
  <si>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</si>
  <si>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</si>
  <si>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</si>
  <si>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</si>
  <si>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</si>
  <si>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</si>
  <si>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</si>
  <si>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</si>
  <si>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</si>
  <si>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</si>
  <si>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</si>
  <si>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</si>
  <si>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</si>
  <si>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</si>
  <si>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</si>
  <si>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</si>
  <si>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</si>
  <si>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</si>
  <si>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</si>
  <si>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</si>
  <si>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</si>
  <si>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</si>
  <si>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</si>
  <si>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</si>
  <si>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</si>
  <si>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</si>
  <si>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</si>
  <si>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</si>
  <si>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</si>
  <si>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</si>
  <si>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</si>
  <si>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</si>
  <si>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</si>
  <si>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</si>
  <si>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</si>
  <si>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</si>
  <si>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</si>
  <si>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</si>
  <si>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設計者6</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</si>
  <si>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</si>
  <si>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</si>
  <si>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</si>
  <si>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</si>
  <si>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</si>
  <si>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</si>
  <si>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</si>
  <si>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</si>
  <si>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</si>
  <si>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</si>
  <si>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</si>
  <si>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</si>
  <si>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</si>
  <si>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</si>
  <si>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</si>
  <si>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</si>
  <si>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</si>
  <si>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</si>
  <si>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</si>
  <si>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</si>
  <si>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</si>
  <si>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</si>
  <si>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</si>
  <si>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</si>
  <si>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</si>
  <si>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</si>
  <si>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</si>
  <si>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</si>
  <si>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</si>
  <si>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設計者7</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</si>
  <si>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</si>
  <si>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</si>
  <si>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</si>
  <si>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</si>
  <si>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</si>
  <si>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</si>
  <si>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</si>
  <si>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</si>
  <si>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</si>
  <si>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</si>
  <si>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</si>
  <si>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</si>
  <si>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</si>
  <si>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</si>
  <si>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</si>
  <si>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</si>
  <si>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</si>
  <si>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</si>
  <si>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</si>
  <si>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</si>
  <si>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</si>
  <si>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</si>
  <si>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</si>
  <si>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</si>
  <si>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</si>
  <si>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</si>
  <si>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</si>
  <si>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</si>
  <si>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</si>
  <si>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設計者8</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</si>
  <si>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</si>
  <si>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</si>
  <si>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</si>
  <si>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</si>
  <si>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</si>
  <si>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</si>
  <si>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</si>
  <si>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</si>
  <si>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</si>
  <si>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</si>
  <si>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</si>
  <si>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</si>
  <si>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</si>
  <si>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</si>
  <si>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</si>
  <si>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</si>
  <si>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</si>
  <si>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</si>
  <si>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</si>
  <si>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</si>
  <si>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</si>
  <si>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</si>
  <si>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</si>
  <si>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</si>
  <si>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</si>
  <si>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</si>
  <si>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</si>
  <si>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</si>
  <si>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</si>
  <si>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設計者9</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</si>
  <si>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</si>
  <si>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</si>
  <si>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</si>
  <si>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</si>
  <si>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</si>
  <si>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</si>
  <si>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</si>
  <si>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</si>
  <si>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</si>
  <si>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</si>
  <si>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</si>
  <si>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</si>
  <si>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</si>
  <si>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</si>
  <si>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</si>
  <si>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</si>
  <si>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</si>
  <si>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</si>
  <si>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</si>
  <si>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</si>
  <si>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</si>
  <si>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</si>
  <si>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</si>
  <si>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</si>
  <si>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</si>
  <si>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</si>
  <si>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</si>
  <si>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</si>
  <si>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</si>
  <si>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設計者10</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</si>
  <si>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</si>
  <si>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</si>
  <si>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</si>
  <si>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</si>
  <si>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</si>
  <si>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</si>
  <si>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</si>
  <si>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</si>
  <si>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</si>
  <si>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</si>
  <si>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</si>
  <si>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</si>
  <si>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</si>
  <si>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</si>
  <si>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</si>
  <si>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</si>
  <si>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</si>
  <si>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</si>
  <si>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</si>
  <si>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</si>
  <si>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</si>
  <si>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</si>
  <si>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</si>
  <si>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</si>
  <si>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</si>
  <si>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</si>
  <si>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</si>
  <si>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</si>
  <si>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</si>
  <si>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設計者11</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</si>
  <si>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</si>
  <si>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</si>
  <si>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</si>
  <si>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</si>
  <si>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</si>
  <si>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</si>
  <si>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</si>
  <si>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</si>
  <si>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</si>
  <si>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</si>
  <si>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</si>
  <si>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</si>
  <si>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</si>
  <si>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</si>
  <si>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</si>
  <si>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</si>
  <si>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</si>
  <si>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</si>
  <si>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</si>
  <si>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</si>
  <si>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</si>
  <si>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</si>
  <si>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</si>
  <si>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</si>
  <si>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</si>
  <si>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</si>
  <si>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</si>
  <si>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</si>
  <si>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</si>
  <si>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設計者12</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</si>
  <si>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</si>
  <si>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</si>
  <si>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</si>
  <si>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</si>
  <si>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</si>
  <si>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</si>
  <si>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</si>
  <si>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</si>
  <si>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</si>
  <si>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</si>
  <si>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</si>
  <si>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</si>
  <si>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</si>
  <si>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</si>
  <si>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</si>
  <si>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</si>
  <si>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</si>
  <si>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</si>
  <si>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</si>
  <si>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</si>
  <si>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</si>
  <si>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</si>
  <si>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</si>
  <si>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</si>
  <si>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</si>
  <si>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</si>
  <si>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</si>
  <si>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</si>
  <si>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</si>
  <si>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（構造設計一級建築士又は設備設計一級建築士である旨の表示をした者）</t>
  </si>
  <si>
    <t>建築士法第20条の２第１項の表示をした者</t>
  </si>
  <si>
    <t>【ｲ.氏名】</t>
  </si>
  <si>
    <t>**wskakunin_20kouzou101_NAME</t>
  </si>
  <si>
    <t>cst_wskakunin_20kouzou101_NAME</t>
  </si>
  <si>
    <t>【ﾛ.資格】構造設計一級建築士交付番号</t>
  </si>
  <si>
    <t>**wskakunin_20kouzou101_KOUZOUSEKKEI_KOUFU_NO</t>
  </si>
  <si>
    <t>cst_wskakunin_20kouzou101_KOUZOUSEKKEI_KOUFU_NO</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</si>
  <si>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</si>
  <si>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</si>
  <si>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</si>
  <si>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</si>
  <si>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</si>
  <si>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</si>
  <si>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</si>
  <si>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</si>
  <si>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</si>
  <si>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</si>
  <si>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</si>
  <si>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</si>
  <si>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</si>
  <si>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</si>
  <si>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</si>
  <si>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</si>
  <si>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建築士法第20条の２第３項の表示をした者</t>
  </si>
  <si>
    <t>**wskakunin_20kouzou301_NAME</t>
  </si>
  <si>
    <t>cst_wskakunin_20kouzou301_NAME</t>
  </si>
  <si>
    <t>**wskakunin_20kouzou301_KOUZOUSEKKEI_KOUFU_NO</t>
  </si>
  <si>
    <t>cst_wskakunin_20kouzou301_KOUZOUSEKKEI_KOUFU_NO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</si>
  <si>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</si>
  <si>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</si>
  <si>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</si>
  <si>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</si>
  <si>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</si>
  <si>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</si>
  <si>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</si>
  <si>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</si>
  <si>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</si>
  <si>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</si>
  <si>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</si>
  <si>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</si>
  <si>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</si>
  <si>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</si>
  <si>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</si>
  <si>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</si>
  <si>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建築士法第20条の３第１項の表示をした者</t>
  </si>
  <si>
    <t>**wskakunin_20setubi101_NAME</t>
  </si>
  <si>
    <t>cst_wskakunin_20setubi101_NAME</t>
  </si>
  <si>
    <t>【ﾛ.資格】設備設計一級建築士交付番号</t>
  </si>
  <si>
    <t>**wskakunin_20setubi101_SETUBISEKKEI_KOUFU_NO</t>
  </si>
  <si>
    <t>cst_wskakunin_20setubi101_SETUBISEKKEI_KOUFU_NO</t>
  </si>
  <si>
    <t>**wskakunin_20setubi102_NAME</t>
  </si>
  <si>
    <t>cst_wskakunin_20setubi102_NAME</t>
  </si>
  <si>
    <t>**wskakunin_20setubi102_SETUBISEKKEI_KOUFU_NO</t>
  </si>
  <si>
    <t>cst_wskakunin_20setubi102_SETUBISEKKEI_KOUFU_NO</t>
  </si>
  <si>
    <t>**wskakunin_20setubi103_NAME</t>
  </si>
  <si>
    <t>cst_wskakunin_20setubi103_NAME</t>
  </si>
  <si>
    <t>**wskakunin_20setubi103_SETUBISEKKEI_KOUFU_NO</t>
  </si>
  <si>
    <t>cst_wskakunin_20setubi103_SETUBISEKKEI_KOUFU_NO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</si>
  <si>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</si>
  <si>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</si>
  <si>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</si>
  <si>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</si>
  <si>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</si>
  <si>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</si>
  <si>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</si>
  <si>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</si>
  <si>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建築士法第20条の３第３項の表示をした者</t>
  </si>
  <si>
    <t>**wskakunin_20setubi301_NAME</t>
  </si>
  <si>
    <t>cst_wskakunin_20setubi301_NAME</t>
  </si>
  <si>
    <t>**wskakunin_20setubi301_SETUBISEKKEI_KOUFU_NO</t>
  </si>
  <si>
    <t>cst_wskakunin_20setubi301_SETUBISEKKEI_KOUFU_NO</t>
  </si>
  <si>
    <t>**wskakunin_20setubi302_NAME</t>
  </si>
  <si>
    <t>cst_wskakunin_20setubi302_NAME</t>
  </si>
  <si>
    <t>**wskakunin_20setubi302_SETUBISEKKEI_KOUFU_NO</t>
  </si>
  <si>
    <t>cst_wskakunin_20setubi302_SETUBISEKKEI_KOUFU_NO</t>
  </si>
  <si>
    <t>**wskakunin_20setubi303_NAME</t>
  </si>
  <si>
    <t>cst_wskakunin_20setubi303_NAME</t>
  </si>
  <si>
    <t>**wskakunin_20setubi303_SETUBISEKKEI_KOUFU_NO</t>
  </si>
  <si>
    <t>cst_wskakunin_20setubi303_SETUBISEKKEI_KOUFU_NO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</si>
  <si>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</si>
  <si>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</si>
  <si>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</si>
  <si>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</si>
  <si>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</si>
  <si>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</si>
  <si>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</si>
  <si>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</si>
  <si>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【4.建築設備の設計に関し意見を聴いた者】</t>
  </si>
  <si>
    <t>（代表となる建築設備の設計に関し意見を聴いた者）</t>
  </si>
  <si>
    <t>**wskakunin_iken1_NAME</t>
  </si>
  <si>
    <t>cst_wskakunin_iken1_NAME</t>
  </si>
  <si>
    <t>【ﾛ.勤務先】</t>
  </si>
  <si>
    <t>**wskakunin_iken1_JIMU_NAME</t>
  </si>
  <si>
    <t>cst_wskakunin_iken1_JIMU_NAME</t>
  </si>
  <si>
    <t>【ﾊ.郵便番号】</t>
  </si>
  <si>
    <t>**wskakunin_iken1_ZIP</t>
  </si>
  <si>
    <t>cst_wskakunin_iken1_ZIP</t>
  </si>
  <si>
    <t>【ﾆ.所在地】</t>
  </si>
  <si>
    <t>**wskakunin_iken1__address</t>
  </si>
  <si>
    <t>cst_wskakunin_iken1__address</t>
  </si>
  <si>
    <t>【ﾎ.電話番号】</t>
  </si>
  <si>
    <t>**wskakunin_iken1_TEL</t>
  </si>
  <si>
    <t>cst_wskakunin_iken1_TEL</t>
  </si>
  <si>
    <t>【ﾍ.登録番号】</t>
  </si>
  <si>
    <t>**wskakunin_iken1_IKEN_NO</t>
  </si>
  <si>
    <t>cst_wskakunin_iken1_IKEN_NO</t>
  </si>
  <si>
    <t>【ﾄ.意見を聴いた設計図書】</t>
  </si>
  <si>
    <t>**wskakunin_iken1_DOC</t>
  </si>
  <si>
    <t>cst_wskakunin_iken1_DOC</t>
  </si>
  <si>
    <t>（その他の建築設備の設計に関し意見を聴いた者１）</t>
  </si>
  <si>
    <t>**wskakunin_iken2_NAME</t>
  </si>
  <si>
    <t>cst_wskakunin_iken2_NAME</t>
  </si>
  <si>
    <t>**wskakunin_iken2_JIMU_NAME</t>
  </si>
  <si>
    <t>cst_wskakunin_iken2_JIMU_NAME</t>
  </si>
  <si>
    <t>**wskakunin_iken2_ZIP</t>
  </si>
  <si>
    <t>cst_wskakunin_iken2_ZIP</t>
  </si>
  <si>
    <t>**wskakunin_iken2__address</t>
  </si>
  <si>
    <t>cst_wskakunin_iken2__address</t>
  </si>
  <si>
    <t>**wskakunin_iken2_TEL</t>
  </si>
  <si>
    <t>cst_wskakunin_iken2_TEL</t>
  </si>
  <si>
    <t>**wskakunin_iken2_IKEN_NO</t>
  </si>
  <si>
    <t>cst_wskakunin_iken2_IKEN_NO</t>
  </si>
  <si>
    <t>**wskakunin_iken2_DOC</t>
  </si>
  <si>
    <t>cst_wskakunin_iken2_DOC</t>
  </si>
  <si>
    <t>（その他の建築設備の設計に関し意見を聴いた者２）</t>
  </si>
  <si>
    <t>**wskakunin_iken3_NAME</t>
  </si>
  <si>
    <t>cst_wskakunin_iken3_NAME</t>
  </si>
  <si>
    <t>**wskakunin_iken3_JIMU_NAME</t>
  </si>
  <si>
    <t>cst_wskakunin_iken3_JIMU_NAME</t>
  </si>
  <si>
    <t>**wskakunin_iken3_ZIP</t>
  </si>
  <si>
    <t>cst_wskakunin_iken3_ZIP</t>
  </si>
  <si>
    <t>**wskakunin_iken3__address</t>
  </si>
  <si>
    <t>cst_wskakunin_iken3__address</t>
  </si>
  <si>
    <t>**wskakunin_iken3_TEL</t>
  </si>
  <si>
    <t>cst_wskakunin_iken3_TEL</t>
  </si>
  <si>
    <t>**wskakunin_iken3_IKEN_NO</t>
  </si>
  <si>
    <t>cst_wskakunin_iken3_IKEN_NO</t>
  </si>
  <si>
    <t>**wskakunin_iken3_DOC</t>
  </si>
  <si>
    <t>cst_wskakunin_iken3_DOC</t>
  </si>
  <si>
    <t>（その他の建築設備の設計に関し意見を聴いた者３）</t>
  </si>
  <si>
    <t>**wskakunin_iken4_NAME</t>
  </si>
  <si>
    <t>cst_wskakunin_iken4_NAME</t>
  </si>
  <si>
    <t>**wskakunin_iken4_JIMU_NAME</t>
  </si>
  <si>
    <t>cst_wskakunin_iken4_JIMU_NAME</t>
  </si>
  <si>
    <t>**wskakunin_iken4_ZIP</t>
  </si>
  <si>
    <t>cst_wskakunin_iken4_ZIP</t>
  </si>
  <si>
    <t>**wskakunin_iken4__address</t>
  </si>
  <si>
    <t>cst_wskakunin_iken4__address</t>
  </si>
  <si>
    <t>**wskakunin_iken4_TEL</t>
  </si>
  <si>
    <t>cst_wskakunin_iken4_TEL</t>
  </si>
  <si>
    <t>**wskakunin_iken4_IKEN_NO</t>
  </si>
  <si>
    <t>cst_wskakunin_iken4_IKEN_NO</t>
  </si>
  <si>
    <t>**wskakunin_iken4_DOC</t>
  </si>
  <si>
    <t>cst_wskakunin_iken4_DOC</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</si>
  <si>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</si>
  <si>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</si>
  <si>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</si>
  <si>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</si>
  <si>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</si>
  <si>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</si>
  <si>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</si>
  <si>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</si>
  <si>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</si>
  <si>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</si>
  <si>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</si>
  <si>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</si>
  <si>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</si>
  <si>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</si>
  <si>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</si>
  <si>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監理者1</t>
  </si>
  <si>
    <t>（代表となる工事監理者）</t>
  </si>
  <si>
    <t>**wskakunin_kanri1__sikaku</t>
  </si>
  <si>
    <t>cst_wskakunin_kanri1__sikaku</t>
  </si>
  <si>
    <t>**wskakunin_kanri1_SIKAKU__label</t>
  </si>
  <si>
    <t>cst_wskakunin_kanri1_SIKAKU</t>
  </si>
  <si>
    <t>**wskakunin_kanri1_TOUROKU_KIKAN__label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</si>
  <si>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</si>
  <si>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</si>
  <si>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</si>
  <si>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</si>
  <si>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</si>
  <si>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</si>
  <si>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</si>
  <si>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</si>
  <si>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cst_wskakunin_kanri1_JIMU_SIKAKU</t>
  </si>
  <si>
    <t>**wskakunin_kanri1_JIMU_TOUROKU_KIKAN__label</t>
  </si>
  <si>
    <t>cst_wskakunin_kanri1_JIMU_TOUROKU_KIKAN</t>
  </si>
  <si>
    <t>**wskakunin_kanri1_JIMU_NO</t>
  </si>
  <si>
    <t>cst_wskakunin_kanri1_JIMU_NO</t>
  </si>
  <si>
    <t>**wskakunin_kanri1_JIMU_NAME</t>
  </si>
  <si>
    <t>cst_wskakunin_kanri1_JIMU_NAME</t>
  </si>
  <si>
    <t>**wskakunin_kanri1_ZIP</t>
  </si>
  <si>
    <t>cst_wskakunin_kanri1_ZIP</t>
  </si>
  <si>
    <t>cst_wskakunin_kanri1_ZIP2</t>
  </si>
  <si>
    <t>**wskakunin_kanri1__address</t>
  </si>
  <si>
    <t>cst_wskakunin_kanri1__address</t>
  </si>
  <si>
    <t>**wskakunin_kanri1_TEL</t>
  </si>
  <si>
    <t>cst_wskakunin_kanri1_TEL</t>
  </si>
  <si>
    <t>cst_wskakunin_kanri1_TEL_dsp</t>
  </si>
  <si>
    <t>**wskakunin_kanri1_DOC</t>
  </si>
  <si>
    <t>cst_wskakunin_kanri1_DOC</t>
  </si>
  <si>
    <t>監理者2</t>
  </si>
  <si>
    <t>（その他の工事監理者）</t>
  </si>
  <si>
    <t>**wskakunin_kanri2__sikaku</t>
  </si>
  <si>
    <t>cst_wskakunin_kanri2__sikaku</t>
  </si>
  <si>
    <t>**wskakunin_kanri2_SIKAKU__label</t>
  </si>
  <si>
    <t>cst_wskakunin_kanri2_SIKAKU</t>
  </si>
  <si>
    <t>**wskakunin_kanri2_TOUROKU_KIKAN__label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</si>
  <si>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</si>
  <si>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</si>
  <si>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</si>
  <si>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</si>
  <si>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</si>
  <si>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</si>
  <si>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</si>
  <si>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</si>
  <si>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cst_wskakunin_kanri2_JIMU_SIKAKU</t>
  </si>
  <si>
    <t>**wskakunin_kanri2_JIMU_TOUROKU_KIKAN__label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</si>
  <si>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</si>
  <si>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</si>
  <si>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</si>
  <si>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</si>
  <si>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</si>
  <si>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</si>
  <si>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</si>
  <si>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</si>
  <si>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</si>
  <si>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</si>
  <si>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</si>
  <si>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</si>
  <si>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</si>
  <si>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監理者3</t>
  </si>
  <si>
    <t>**wskakunin_kanri3__sikaku</t>
  </si>
  <si>
    <t>cst_wskakunin_kanri3__sikaku</t>
  </si>
  <si>
    <t>**wskakunin_kanri3_SIKAKU__label</t>
  </si>
  <si>
    <t>cst_wskakunin_kanri3_SIKAKU</t>
  </si>
  <si>
    <t>**wskakunin_kanri3_TOUROKU_KIKAN__label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</si>
  <si>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</si>
  <si>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</si>
  <si>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</si>
  <si>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</si>
  <si>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</si>
  <si>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</si>
  <si>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</si>
  <si>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</si>
  <si>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cst_wskakunin_kanri3_JIMU_SIKAKU</t>
  </si>
  <si>
    <t>**wskakunin_kanri3_JIMU_TOUROKU_KIKAN__label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</si>
  <si>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</si>
  <si>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</si>
  <si>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</si>
  <si>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</si>
  <si>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</si>
  <si>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</si>
  <si>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</si>
  <si>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</si>
  <si>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</si>
  <si>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</si>
  <si>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</si>
  <si>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</si>
  <si>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</si>
  <si>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監理者4</t>
  </si>
  <si>
    <t>**wskakunin_kanri4__sikaku</t>
  </si>
  <si>
    <t>cst_wskakunin_kanri4__sikaku</t>
  </si>
  <si>
    <t>**wskakunin_kanri4_SIKAKU__label</t>
  </si>
  <si>
    <t>cst_wskakunin_kanri4_SIKAKU</t>
  </si>
  <si>
    <t>**wskakunin_kanri4_TOUROKU_KIKAN__label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</si>
  <si>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</si>
  <si>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</si>
  <si>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</si>
  <si>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</si>
  <si>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</si>
  <si>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</si>
  <si>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</si>
  <si>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</si>
  <si>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cst_wskakunin_kanri4_JIMU_SIKAKU</t>
  </si>
  <si>
    <t>**wskakunin_kanri4_JIMU_TOUROKU_KIKAN__label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</si>
  <si>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</si>
  <si>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</si>
  <si>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</si>
  <si>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</si>
  <si>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</si>
  <si>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</si>
  <si>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</si>
  <si>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</si>
  <si>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</si>
  <si>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</si>
  <si>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</si>
  <si>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</si>
  <si>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</si>
  <si>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監理者5</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</si>
  <si>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</si>
  <si>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</si>
  <si>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</si>
  <si>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</si>
  <si>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</si>
  <si>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</si>
  <si>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</si>
  <si>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</si>
  <si>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</si>
  <si>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</si>
  <si>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</si>
  <si>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</si>
  <si>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</si>
  <si>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</si>
  <si>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</si>
  <si>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</si>
  <si>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</si>
  <si>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</si>
  <si>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</si>
  <si>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</si>
  <si>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</si>
  <si>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</si>
  <si>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</si>
  <si>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</si>
  <si>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</si>
  <si>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</si>
  <si>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</si>
  <si>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</si>
  <si>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監理者6</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</si>
  <si>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</si>
  <si>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</si>
  <si>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</si>
  <si>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</si>
  <si>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</si>
  <si>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</si>
  <si>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</si>
  <si>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</si>
  <si>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</si>
  <si>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</si>
  <si>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</si>
  <si>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</si>
  <si>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</si>
  <si>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</si>
  <si>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</si>
  <si>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</si>
  <si>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</si>
  <si>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</si>
  <si>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</si>
  <si>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</si>
  <si>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</si>
  <si>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</si>
  <si>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</si>
  <si>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</si>
  <si>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</si>
  <si>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</si>
  <si>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</si>
  <si>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</si>
  <si>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監理者7</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</si>
  <si>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</si>
  <si>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</si>
  <si>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</si>
  <si>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</si>
  <si>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</si>
  <si>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</si>
  <si>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</si>
  <si>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</si>
  <si>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</si>
  <si>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</si>
  <si>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</si>
  <si>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</si>
  <si>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</si>
  <si>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</si>
  <si>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</si>
  <si>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</si>
  <si>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</si>
  <si>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</si>
  <si>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</si>
  <si>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</si>
  <si>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</si>
  <si>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</si>
  <si>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</si>
  <si>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</si>
  <si>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</si>
  <si>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</si>
  <si>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</si>
  <si>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</si>
  <si>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監理者8</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</si>
  <si>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</si>
  <si>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</si>
  <si>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</si>
  <si>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</si>
  <si>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</si>
  <si>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</si>
  <si>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</si>
  <si>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</si>
  <si>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</si>
  <si>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</si>
  <si>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</si>
  <si>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</si>
  <si>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</si>
  <si>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</si>
  <si>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</si>
  <si>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</si>
  <si>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</si>
  <si>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</si>
  <si>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</si>
  <si>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</si>
  <si>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</si>
  <si>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</si>
  <si>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</si>
  <si>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</si>
  <si>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</si>
  <si>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</si>
  <si>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</si>
  <si>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</si>
  <si>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監理者9</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</si>
  <si>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</si>
  <si>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</si>
  <si>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</si>
  <si>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</si>
  <si>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</si>
  <si>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</si>
  <si>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</si>
  <si>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</si>
  <si>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</si>
  <si>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</si>
  <si>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</si>
  <si>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</si>
  <si>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</si>
  <si>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</si>
  <si>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</si>
  <si>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</si>
  <si>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</si>
  <si>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</si>
  <si>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</si>
  <si>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</si>
  <si>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</si>
  <si>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</si>
  <si>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</si>
  <si>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</si>
  <si>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</si>
  <si>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</si>
  <si>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</si>
  <si>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</si>
  <si>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監理者10</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</si>
  <si>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</si>
  <si>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</si>
  <si>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</si>
  <si>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</si>
  <si>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</si>
  <si>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</si>
  <si>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</si>
  <si>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</si>
  <si>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</si>
  <si>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</si>
  <si>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</si>
  <si>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</si>
  <si>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</si>
  <si>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</si>
  <si>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</si>
  <si>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</si>
  <si>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</si>
  <si>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</si>
  <si>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</si>
  <si>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</si>
  <si>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</si>
  <si>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</si>
  <si>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</si>
  <si>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</si>
  <si>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</si>
  <si>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</si>
  <si>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</si>
  <si>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</si>
  <si>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監理者11</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</si>
  <si>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</si>
  <si>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</si>
  <si>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</si>
  <si>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</si>
  <si>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</si>
  <si>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</si>
  <si>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</si>
  <si>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</si>
  <si>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</si>
  <si>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</si>
  <si>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</si>
  <si>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</si>
  <si>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</si>
  <si>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</si>
  <si>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</si>
  <si>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</si>
  <si>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</si>
  <si>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</si>
  <si>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</si>
  <si>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</si>
  <si>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</si>
  <si>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</si>
  <si>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</si>
  <si>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</si>
  <si>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</si>
  <si>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</si>
  <si>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</si>
  <si>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</si>
  <si>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</si>
  <si>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</si>
  <si>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</si>
  <si>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</si>
  <si>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</si>
  <si>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</si>
  <si>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</si>
  <si>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</si>
  <si>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</si>
  <si>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</si>
  <si>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</si>
  <si>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</si>
  <si>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</si>
  <si>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</si>
  <si>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</si>
  <si>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</si>
  <si>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</si>
  <si>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</si>
  <si>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</si>
  <si>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</si>
  <si>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</si>
  <si>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</si>
  <si>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</si>
  <si>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</si>
  <si>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</si>
  <si>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</si>
  <si>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</si>
  <si>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</si>
  <si>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</si>
  <si>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施工者</t>
  </si>
  <si>
    <t>**wskakunin_sekou1_NAME</t>
  </si>
  <si>
    <t>代表取締役　波夛野　賢</t>
  </si>
  <si>
    <t>cst_wskakunin_sekou1_NAME</t>
  </si>
  <si>
    <t>建設業の資格一括</t>
  </si>
  <si>
    <t>**wskakunin_sekou1_SEKOU__sikaku</t>
  </si>
  <si>
    <t>京都府知事第般-3　1675号</t>
  </si>
  <si>
    <t>cst_wskakunin_sekou1_SEKOU__sikaku</t>
  </si>
  <si>
    <t>建設業の許可</t>
  </si>
  <si>
    <t>**wskakunin_sekou1_SEKOU_SIKAKU__label</t>
  </si>
  <si>
    <t>京都府知事</t>
  </si>
  <si>
    <t>cst_wskakunin_sekou1_SEKOU_SIKAKU</t>
  </si>
  <si>
    <t>登録番号</t>
  </si>
  <si>
    <t>**wskakunin_sekou1_SEKOU_NO</t>
  </si>
  <si>
    <t>般-3　1675</t>
  </si>
  <si>
    <t>cst_wskakunin_sekou1_SEKOU_NO</t>
  </si>
  <si>
    <t>営業所名</t>
  </si>
  <si>
    <t>**wskakunin_sekou1_JIMU_NAME</t>
  </si>
  <si>
    <t>四辻木材興行株式会社</t>
  </si>
  <si>
    <t>cst_wskakunin_sekou1_JIMU_NAME</t>
  </si>
  <si>
    <t>**wskakunin_sekou1_ZIP</t>
  </si>
  <si>
    <t>617-0006</t>
  </si>
  <si>
    <t>cst_wskakunin_sekou1_ZIP</t>
  </si>
  <si>
    <t>**wskakunin_sekou1__address</t>
  </si>
  <si>
    <t>京都府向日市上植野町落掘17-1</t>
  </si>
  <si>
    <t>cst_wskakunin_sekou1__address</t>
  </si>
  <si>
    <t>**wskakunin_sekou1_TEL</t>
  </si>
  <si>
    <t>075-931-1191</t>
  </si>
  <si>
    <t>cst_wskakunin_sekou1_TEL</t>
  </si>
  <si>
    <t>cst_wskakunin_sekou1_TEL_dsp</t>
  </si>
  <si>
    <t>入力チェック</t>
  </si>
  <si>
    <t>cst_wskakunin_sekou1_kakunin</t>
  </si>
  <si>
    <t>：未入力1,入力済み2</t>
  </si>
  <si>
    <t>施工者2</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</si>
  <si>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</si>
  <si>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</si>
  <si>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</si>
  <si>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</si>
  <si>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</si>
  <si>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</si>
  <si>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</si>
  <si>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</si>
  <si>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</si>
  <si>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</si>
  <si>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</si>
  <si>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</si>
  <si>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</si>
  <si>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</si>
  <si>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</si>
  <si>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</si>
  <si>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施工者3</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</si>
  <si>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</si>
  <si>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</si>
  <si>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</si>
  <si>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</si>
  <si>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</si>
  <si>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</si>
  <si>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</si>
  <si>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</si>
  <si>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</si>
  <si>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</si>
  <si>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</si>
  <si>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</si>
  <si>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</si>
  <si>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</si>
  <si>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</si>
  <si>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</si>
  <si>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施工者4</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</si>
  <si>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</si>
  <si>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</si>
  <si>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</si>
  <si>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</si>
  <si>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</si>
  <si>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</si>
  <si>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</si>
  <si>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</si>
  <si>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</si>
  <si>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</si>
  <si>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</si>
  <si>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</si>
  <si>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</si>
  <si>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</si>
  <si>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</si>
  <si>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</si>
  <si>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施工者5</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</si>
  <si>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</si>
  <si>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</si>
  <si>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</si>
  <si>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</si>
  <si>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</si>
  <si>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</si>
  <si>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</si>
  <si>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</si>
  <si>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</si>
  <si>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</si>
  <si>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</si>
  <si>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</si>
  <si>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</si>
  <si>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</si>
  <si>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</si>
  <si>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</si>
  <si>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施工者6</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</si>
  <si>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</si>
  <si>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</si>
  <si>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</si>
  <si>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</si>
  <si>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</si>
  <si>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</si>
  <si>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</si>
  <si>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</si>
  <si>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</si>
  <si>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</si>
  <si>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</si>
  <si>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</si>
  <si>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</si>
  <si>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</si>
  <si>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</si>
  <si>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</si>
  <si>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 特定施工業者の検索</t>
  </si>
  <si>
    <t>一建設（前方一致で判定）</t>
  </si>
  <si>
    <t>cst_wskakunin_sekou1__hajime</t>
  </si>
  <si>
    <t>※showsheetflagではSEARCH関数は使用不可</t>
  </si>
  <si>
    <t>ケイアイスター</t>
  </si>
  <si>
    <t>cst_wskakunin_sekou1__kistar</t>
  </si>
  <si>
    <t>備考（建築物名称）</t>
  </si>
  <si>
    <t>**wskakunin_BUILD_NAME</t>
  </si>
  <si>
    <t>猫山邸　新築工事</t>
  </si>
  <si>
    <t>cst_wskakunin_BUILD_NAME</t>
  </si>
  <si>
    <t>**wskakunin_BUILD_NAME_KANA</t>
  </si>
  <si>
    <t>cst_wskakunin_BUILD_NAME_KANA</t>
  </si>
  <si>
    <t>第二面 備考</t>
  </si>
  <si>
    <t>**wskakunin_P2_BIKOU</t>
  </si>
  <si>
    <t>cst_wskakunin_P2_BIKOU</t>
  </si>
  <si>
    <t>7.構造計算適合性判定</t>
  </si>
  <si>
    <t>チェック</t>
  </si>
  <si>
    <t>**wskakunin_tekihan01_TEKIHAN_STATE</t>
  </si>
  <si>
    <t>－申請済チェック</t>
  </si>
  <si>
    <t>cst_wskakunin_tekihan01_TEKIHAN_STATE_shinsei</t>
  </si>
  <si>
    <t>－未申請チェック</t>
  </si>
  <si>
    <t>cst_wskakunin_tekihan01_TEKIHAN_STATE_mishinsei</t>
  </si>
  <si>
    <t>－申請不要チェック</t>
  </si>
  <si>
    <t>cst_wskakunin_tekihan01_TEKIHAN_STATE_shinseifuyou</t>
  </si>
  <si>
    <t>適判名称</t>
  </si>
  <si>
    <t>**wskakunin_tekihan01_TEKIHAN_KIKAN_NAME</t>
  </si>
  <si>
    <t>cst_wskakunin_tekihan01_TEKIHAN_KIKAN_NAME</t>
  </si>
  <si>
    <t>適判所在地　都道府県</t>
  </si>
  <si>
    <t>**wskakunin_tekihan01_TEKIHAN_KIKAN_KEN__ken</t>
  </si>
  <si>
    <t>cst_wskakunin_tekihan01_TEKIHAN_KIKAN_KEN__ken</t>
  </si>
  <si>
    <t>適判所在地　市区町村</t>
  </si>
  <si>
    <t>**wskakunin_tekihan01_TEKIHAN_KIKAN_ADDRESS</t>
  </si>
  <si>
    <t>cst_wskakunin_tekihan01_TEKIHAN_KIKAN_ADDRESS</t>
  </si>
  <si>
    <t>名称＋都道府県＋市区町村</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</si>
  <si>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</si>
  <si>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</si>
  <si>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</si>
  <si>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</si>
  <si>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</si>
  <si>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</si>
  <si>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</si>
  <si>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</si>
  <si>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8.建築物エネルギー消費性能確保計画の提出</t>
  </si>
  <si>
    <t>提出状況チェック</t>
  </si>
  <si>
    <t>**wskakunin_ecotekihan01_TEKIHAN_STATE</t>
  </si>
  <si>
    <t>－提出済チェック</t>
  </si>
  <si>
    <t>cst_wskakunin_ecotekihan01_TEKIHAN_STATE_teisyutu</t>
  </si>
  <si>
    <t>－未提出チェック</t>
  </si>
  <si>
    <t>cst_wskakunin_ecotekihan01_TEKIHAN_STATE_miteisyutu</t>
  </si>
  <si>
    <t>－提出不要チェック</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</si>
  <si>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</si>
  <si>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</si>
  <si>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</si>
  <si>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</si>
  <si>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</si>
  <si>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</si>
  <si>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</si>
  <si>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提出済-機関情報</t>
  </si>
  <si>
    <t>cst_wskakunin_ecotekihan01_teisyutu_kikan_info</t>
  </si>
  <si>
    <t>未提出-機関情報</t>
  </si>
  <si>
    <t>cst_wskakunin_ecotekihan01_miteisyutu_kikan_info</t>
  </si>
  <si>
    <t>提出不要-理由</t>
  </si>
  <si>
    <t>**wskakunin_ecotekihan01_FUYOU_CAUSE</t>
  </si>
  <si>
    <t>cst_wskakunin_ecotekihan01_FUYOU_CAUSE</t>
  </si>
  <si>
    <t>第四面</t>
  </si>
  <si>
    <t>1.</t>
  </si>
  <si>
    <t>主要用途</t>
  </si>
  <si>
    <t>**wskakunin_p4_1_youto1_YOUTO</t>
  </si>
  <si>
    <t>cst_wskakunin_p4_1_youto1_YOUTO</t>
  </si>
  <si>
    <t>区分</t>
  </si>
  <si>
    <t>**wskakunin_p4_1_youto1_YOUTO_CODE</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</si>
  <si>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</si>
  <si>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</si>
  <si>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</si>
  <si>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</si>
  <si>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</si>
  <si>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</si>
  <si>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</si>
  <si>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</si>
  <si>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</si>
  <si>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</si>
  <si>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</si>
  <si>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</si>
  <si>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</si>
  <si>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</si>
  <si>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</si>
  <si>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</si>
  <si>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</si>
  <si>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</si>
  <si>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</si>
  <si>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</si>
  <si>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</si>
  <si>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</si>
  <si>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</si>
  <si>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</si>
  <si>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</si>
  <si>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</si>
  <si>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</si>
  <si>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</si>
  <si>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</si>
  <si>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</si>
  <si>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</si>
  <si>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</si>
  <si>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</si>
  <si>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</si>
  <si>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</si>
  <si>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</si>
  <si>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床面積（申請部分）</t>
  </si>
  <si>
    <t>**wskakunin_p4_1_KAISU_YUKA_MENSEKI_SHINSEI</t>
  </si>
  <si>
    <t>cst_wskakunin_p4_1_KAISU_YUKA_MENSEKI_SHINSEI</t>
  </si>
  <si>
    <t>第6条の4第1項の特例の有無</t>
  </si>
  <si>
    <t>**wskakunin_p4_1_TOKUREI_KAKUNIN_FLAG</t>
  </si>
  <si>
    <t>cst_wskakunin_p4_1_TOKUREI_KAKUNIN_FLAG</t>
  </si>
  <si>
    <t>cst_wskakunin_p4_1_TOKUREI_KAKUNIN_FLAG_on</t>
  </si>
  <si>
    <t>cst_wskakunin_p4_1_TOKUREI_KAKUNIN_FLAG_off</t>
  </si>
  <si>
    <t>第四面-階別-階数-1</t>
  </si>
  <si>
    <t>**wskakunin_p4_1_p5_1_KAI</t>
  </si>
  <si>
    <t>cst_wskakunin_p4_1_p5_1_KAI</t>
  </si>
  <si>
    <t>　-階数1-床面積-申請部分</t>
  </si>
  <si>
    <t>**wskakunin_p4_1_p5_1_P4_MENSEKI_SHINSEI</t>
  </si>
  <si>
    <t>cst_wskakunin_p4_1_p5_1_P4_MENSEKI_SHINSEI</t>
  </si>
  <si>
    <t>階別-階数-2</t>
  </si>
  <si>
    <t>**wskakunin_p4_1_p5_2_KAI</t>
  </si>
  <si>
    <t>cst_wskakunin_p4_1_p5_2_KAI</t>
  </si>
  <si>
    <t>　-階数2-床面積-申請部分</t>
  </si>
  <si>
    <t>**wskakunin_p4_1_p5_2_P4_MENSEKI_SHINSEI</t>
  </si>
  <si>
    <t>cst_wskakunin_p4_1_p5_2_P4_MENSEKI_SHINSEI</t>
  </si>
  <si>
    <t>階別-階数-3</t>
  </si>
  <si>
    <t>**wskakunin_p4_1_p5_3_KAI</t>
  </si>
  <si>
    <t>cst_wskakunin_p4_1_p5_3_KAI</t>
  </si>
  <si>
    <t>　-階数3-床面積-申請部分</t>
  </si>
  <si>
    <t>**wskakunin_p4_1_p5_3_P4_MENSEKI_SHINSEI</t>
  </si>
  <si>
    <t>cst_wskakunin_p4_1_p5_3_P4_MENSEKI_SHINSEI</t>
  </si>
  <si>
    <t>第三面</t>
  </si>
  <si>
    <t>1.地名地番</t>
  </si>
  <si>
    <t>地名地番</t>
  </si>
  <si>
    <t>**wskakunin_BUILD__address</t>
  </si>
  <si>
    <t>cst_wskakunin_BUILD__address</t>
  </si>
  <si>
    <t>-都道府県</t>
  </si>
  <si>
    <t>**wskakunin_BUILD_KEN__ken</t>
  </si>
  <si>
    <t>大阪府</t>
  </si>
  <si>
    <t>cst_wskakunin_BUILD_KEN__ken</t>
  </si>
  <si>
    <t>-住所</t>
  </si>
  <si>
    <t>**wskakunin_BUILD_ADDRESS</t>
  </si>
  <si>
    <t>茨木市山手台2-2-2</t>
  </si>
  <si>
    <t>cst_wskakunin_BUILD_ADDRESS</t>
  </si>
  <si>
    <t>2.住居表示</t>
  </si>
  <si>
    <t>**wskakunin_BUILD_JYUKYO__address</t>
  </si>
  <si>
    <t>大阪府茨木市山手台2-2（以下未定）</t>
  </si>
  <si>
    <t>cst_wskakunin_BUILD_JYUKYO__address</t>
  </si>
  <si>
    <t>**wskakunin_BUILD_JYUKYO_KEN__ken</t>
  </si>
  <si>
    <t>cst_wskakunin_BUILD_JYUKYO_KEN__ken</t>
  </si>
  <si>
    <t>**wskakunin_BUILD_JYUKYO_ADDRESS</t>
  </si>
  <si>
    <t>茨木市山手台2-2（以下未定）</t>
  </si>
  <si>
    <t>cst_wskakunin_BUILD_JYUKYO_ADDRESS</t>
  </si>
  <si>
    <t>3.都市計画区域</t>
  </si>
  <si>
    <t>都市計画区域内</t>
  </si>
  <si>
    <t>**wskakunin_KUIKI_TOSI</t>
  </si>
  <si>
    <t>cst_wskakunin_KUIKI_TOSI</t>
  </si>
  <si>
    <t>内外の別</t>
  </si>
  <si>
    <t>**wskakunin__kuiki</t>
  </si>
  <si>
    <t>cst_wskakunin__kuiki</t>
  </si>
  <si>
    <t>cst_wskakunin__kuiki_box</t>
  </si>
  <si>
    <t>市街化区域</t>
  </si>
  <si>
    <t>**wskakunin_KUIKI_SIGAIKA</t>
  </si>
  <si>
    <t>cst_wskakunin_KUIKI_SIGAIKA</t>
  </si>
  <si>
    <t>区域内の分類</t>
  </si>
  <si>
    <t>**wskakunin__tosi_kuiki</t>
  </si>
  <si>
    <t>cst_wskakunin__tosi_kuiki</t>
  </si>
  <si>
    <t>市街化調整区域</t>
  </si>
  <si>
    <t>**wskakunin_KUIKI_TYOSEI</t>
  </si>
  <si>
    <t>cst_wskakunin_KUIKI_TYOSEI</t>
  </si>
  <si>
    <t>区域区分非設定</t>
  </si>
  <si>
    <t>**wskakunin_KUIKI_HISETTEI</t>
  </si>
  <si>
    <t>cst_wskakunin_KUIKI_HISETTEI</t>
  </si>
  <si>
    <t>準都市計画区域内</t>
  </si>
  <si>
    <t>**wskakunin_KUIKI_JYUN_TOSHI</t>
  </si>
  <si>
    <t>cst_wskakunin_KUIKI_JYUN_TOSHI</t>
  </si>
  <si>
    <t>都市計画区域及び準都市計画区域内準都市計画区域外</t>
  </si>
  <si>
    <t>**wskakunin_KUIKI_KUIKIGAI</t>
  </si>
  <si>
    <t>cst_wskakunin_KUIKI_KUIKIGAI</t>
  </si>
  <si>
    <t>4.防火地域</t>
  </si>
  <si>
    <t>**wskakunin__bouka</t>
  </si>
  <si>
    <t>cst_wskakunin__bouka</t>
  </si>
  <si>
    <t>防火地域</t>
  </si>
  <si>
    <t>**wskakunin_BOUKA_BOUKA</t>
  </si>
  <si>
    <t>cst_wskakunin_BOUKA_BOUKA</t>
  </si>
  <si>
    <t>準防火地域</t>
  </si>
  <si>
    <t>**wskakunin_BOUKA_JYUN_BOUKA</t>
  </si>
  <si>
    <t>cst_wskakunin_BOUKA_JYUN_BOUKA</t>
  </si>
  <si>
    <t>指定なし</t>
  </si>
  <si>
    <t>**wskakunin_BOUKA_NASI</t>
  </si>
  <si>
    <t>cst_wskakunin_BOUKA_NASI</t>
  </si>
  <si>
    <t>法第22条区域</t>
  </si>
  <si>
    <t>**wskakunin_BOUKA_22JYO</t>
  </si>
  <si>
    <t>cst_wskakunin_BOUKA_22JYO</t>
  </si>
  <si>
    <t>5.その他の区域</t>
  </si>
  <si>
    <t>**wskakunin_SONOTA_KUIKI</t>
  </si>
  <si>
    <t>cst_wskakunin_wskakunin_SONOTA_KUIKI</t>
  </si>
  <si>
    <t>6.道路</t>
  </si>
  <si>
    <t>幅員</t>
  </si>
  <si>
    <t>**wskakunin_DOURO_FUKUIN</t>
  </si>
  <si>
    <t>cst_wskakunin_DOURO_FUKUIN</t>
  </si>
  <si>
    <t>敷地と接している部分の長さ</t>
  </si>
  <si>
    <t>**wskakunin_DOURO_NAGASA</t>
  </si>
  <si>
    <t>cst_wskakunin_DOURO_NAGASA</t>
  </si>
  <si>
    <t>7.敷地面積</t>
  </si>
  <si>
    <t>敷地面積</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</si>
  <si>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</si>
  <si>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</si>
  <si>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</si>
  <si>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</si>
  <si>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</si>
  <si>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</si>
  <si>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</si>
  <si>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</si>
  <si>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</si>
  <si>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</si>
  <si>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</si>
  <si>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</si>
  <si>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</si>
  <si>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</si>
  <si>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</si>
  <si>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</si>
  <si>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</si>
  <si>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</si>
  <si>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</si>
  <si>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</si>
  <si>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</si>
  <si>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</si>
  <si>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</si>
  <si>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</si>
  <si>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用途地域</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</si>
  <si>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</si>
  <si>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</si>
  <si>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</si>
  <si>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</si>
  <si>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</si>
  <si>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</si>
  <si>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</si>
  <si>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</si>
  <si>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</si>
  <si>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</si>
  <si>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</si>
  <si>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</si>
  <si>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□、■表示</t>
  </si>
  <si>
    <t>容積率</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</si>
  <si>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</si>
  <si>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</si>
  <si>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</si>
  <si>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</si>
  <si>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</si>
  <si>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</si>
  <si>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</si>
  <si>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</si>
  <si>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建蔽率</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</si>
  <si>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</si>
  <si>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</si>
  <si>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</si>
  <si>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</si>
  <si>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</si>
  <si>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</si>
  <si>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</si>
  <si>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</si>
  <si>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敷地面積の合計</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</si>
  <si>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</si>
  <si>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</si>
  <si>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</si>
  <si>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</si>
  <si>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</si>
  <si>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</si>
  <si>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</si>
  <si>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</si>
  <si>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</si>
  <si>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</si>
  <si>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</si>
  <si>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</si>
  <si>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</si>
  <si>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</si>
  <si>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8.主要用途</t>
  </si>
  <si>
    <t>CODE</t>
  </si>
  <si>
    <t>**wskakunin_YOUTO_CODE</t>
  </si>
  <si>
    <t>cst_wskakunin_YOUTO_CODE</t>
  </si>
  <si>
    <t>**wskakunin_YOUTO</t>
  </si>
  <si>
    <t>cst_wskakunin_YOUTO</t>
  </si>
  <si>
    <t>共同・長屋の戸数</t>
  </si>
  <si>
    <t>**shinsei_UNIT_COUNT</t>
  </si>
  <si>
    <t>cst_shinsei_UNIT_COUNT</t>
  </si>
  <si>
    <t>―長期第二面表記用戸建box</t>
  </si>
  <si>
    <t>cst_wskakunin_YOUTO_kodate_box</t>
  </si>
  <si>
    <t>―長期第二面表記用共同box</t>
  </si>
  <si>
    <t>cst_wskakunin_YOUTO_kyoudou_box</t>
  </si>
  <si>
    <t>9.工事種別</t>
  </si>
  <si>
    <t>工事種別一括出力</t>
  </si>
  <si>
    <t>**wskakunin__kouji</t>
  </si>
  <si>
    <t>新築</t>
  </si>
  <si>
    <t>cst_wskakunin__kouji</t>
  </si>
  <si>
    <t>**wskakunin_KOUJI_SINTIKU</t>
  </si>
  <si>
    <t>cst_wskakunin_KOUJI_SINTIKU_box</t>
  </si>
  <si>
    <t>増築</t>
  </si>
  <si>
    <t>**wskakunin_KOUJI_ZOUTIKU</t>
  </si>
  <si>
    <t>cst_wskakunin_KOUJI_ZOUTIKU_box</t>
  </si>
  <si>
    <t>改築</t>
  </si>
  <si>
    <t>**wskakunin_KOUJI_KAITIKU</t>
  </si>
  <si>
    <t>cst_wskakunin_KOUJI_KAITIKU_box</t>
  </si>
  <si>
    <t>移転</t>
  </si>
  <si>
    <t>**wskakunin_KOUJI_ITEN</t>
  </si>
  <si>
    <t>cst_wskakunin_KOUJI_ITEN_box</t>
  </si>
  <si>
    <t>用途変更</t>
  </si>
  <si>
    <t>**wskakunin_KOUJI_YOUTOHENKOU</t>
  </si>
  <si>
    <t>cst_wskakunin_KOUJI_YOUTOHENKOU_box</t>
  </si>
  <si>
    <t>確認・計変のみ</t>
  </si>
  <si>
    <t>大規模の修繕</t>
  </si>
  <si>
    <t>**wskakunin_KOUJI_DAI_SYUUZEN</t>
  </si>
  <si>
    <t>cst_wskakunin_KOUJI_DAI_SYUUZEN_box</t>
  </si>
  <si>
    <t>大規模の模様替</t>
  </si>
  <si>
    <t>**wskakunin_KOUJI_DAI_MOYOUGAE</t>
  </si>
  <si>
    <t>cst_wskakunin_KOUJI_DAI_MOYOUGAE_box</t>
  </si>
  <si>
    <t>建築設備の設置</t>
  </si>
  <si>
    <t>**wskakuninKOUJI_SETUBI</t>
  </si>
  <si>
    <t>cst_wskakunin_KOUJI_SETUBI_box</t>
  </si>
  <si>
    <t>中間・完了のみ</t>
  </si>
  <si>
    <t>-長期第二面表記用</t>
  </si>
  <si>
    <t>cst_wskakunin_KOUJI_zoukaitiku_box</t>
  </si>
  <si>
    <t>工作物の概要</t>
  </si>
  <si>
    <t>種類コード</t>
  </si>
  <si>
    <t>**wskakunin_gaiyou1_WORK_SYURUI_CODE</t>
  </si>
  <si>
    <t>cst_wskakunin_gaiyou1_WORK_SYURUI_CODE</t>
  </si>
  <si>
    <t>種類</t>
  </si>
  <si>
    <t>**wskakunin_gaiyou1_WORK_SYURUI</t>
  </si>
  <si>
    <t>cst_wskakunin_gaiyou1_WORK_SYURUI</t>
  </si>
  <si>
    <t>高さ</t>
  </si>
  <si>
    <t>**wskakunin_gaiyou1_TAKASA</t>
  </si>
  <si>
    <t>cst_wskakunin_gaiyou1_TAKASA</t>
  </si>
  <si>
    <t>**wskakunin_gaiyou1_KOUZOU</t>
  </si>
  <si>
    <t>cst_wskakunin_gaiyou1_KOUZOU</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</si>
  <si>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</si>
  <si>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</si>
  <si>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</si>
  <si>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</si>
  <si>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</si>
  <si>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</si>
  <si>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</si>
  <si>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</si>
  <si>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</si>
  <si>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</si>
  <si>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</si>
  <si>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</si>
  <si>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</si>
  <si>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</si>
  <si>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</si>
  <si>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築造面積_申請部分</t>
  </si>
  <si>
    <t>**wskakunin_gaiyou1_TIKUZOU_MENSEKI_SHINSEI</t>
  </si>
  <si>
    <t>cst_wskakunin_gaiyou1_TIKUZOU_MENSEKI_SHINSEI</t>
  </si>
  <si>
    <t>築造面積_申請以外の部分</t>
  </si>
  <si>
    <t>**wskakunin_gaiyou1_TIKUZOU_MENSEKI_IGAI</t>
  </si>
  <si>
    <t>cst_wskakunin_gaiyou1_TIKUZOU_MENSEKI_IGAI</t>
  </si>
  <si>
    <t>築造面積_合計</t>
  </si>
  <si>
    <t>**wskakunin_gaiyou1_TIKUZOU_MENSEKI_TOTAL</t>
  </si>
  <si>
    <t>cst_wskakunin_gaiyou1_TIKUZOU_MENSEKI_TOTAL</t>
  </si>
  <si>
    <t>工作物の数_申請部分</t>
  </si>
  <si>
    <t>**wskakunin_gaiyou1_WORK_COUNT_SHINSEI</t>
  </si>
  <si>
    <t>cst_wskakunin_gaiyou1_WORK_COUNT_SHINSEI</t>
  </si>
  <si>
    <t>工作物の数_申請以外部分</t>
  </si>
  <si>
    <t>**wskakunin_gaiyou1_WORK_COUNT_IGAI</t>
  </si>
  <si>
    <t>cst_wskakunin_gaiyou1_WORK_COUNT_IGAI</t>
  </si>
  <si>
    <t>工作物の数_合計</t>
  </si>
  <si>
    <t>**wskakunin_gaiyou1_WORK_COUNT_TOTAL</t>
  </si>
  <si>
    <t>cst_wskakunin_gaiyou1_WORK_COUNT_TOTAL</t>
  </si>
  <si>
    <t>昇降機の概要</t>
  </si>
  <si>
    <t>番号</t>
  </si>
  <si>
    <t>**wskakunin_gaiyou1_NO</t>
  </si>
  <si>
    <t>cst_wskakunin_gaiyou1_NO</t>
  </si>
  <si>
    <t>種別</t>
  </si>
  <si>
    <t>**wskakunin_gaiyou1_EV_KIND</t>
  </si>
  <si>
    <t>cst_wskakunin_gaiyou1_EV_KIND</t>
  </si>
  <si>
    <t>用途</t>
  </si>
  <si>
    <t>**wskakunin_gaiyou1_YOUTO</t>
  </si>
  <si>
    <t>cst_wskakunin_gaiyou1_YOUTO</t>
  </si>
  <si>
    <t>積載荷重</t>
  </si>
  <si>
    <t>**wskakunin_gaiyou1_SEKISAI</t>
  </si>
  <si>
    <t>cst_wskakunin_gaiyou1_SEKISAI</t>
  </si>
  <si>
    <t>最大定員</t>
  </si>
  <si>
    <t>**wskakunin_gaiyou1_TEIIN</t>
  </si>
  <si>
    <t>cst_wskakunin_gaiyou1_TEIIN</t>
  </si>
  <si>
    <t>定格速度</t>
  </si>
  <si>
    <t>**wskakunin_gaiyou1_SPEED</t>
  </si>
  <si>
    <t>cst_wskakunin_gaiyou1_SPEED</t>
  </si>
  <si>
    <t>その他必要な事項</t>
  </si>
  <si>
    <t>**wskakunin_gaiyou1_SONOTA</t>
  </si>
  <si>
    <t>cst_wskakunin_gaiyou1_SONOTA</t>
  </si>
  <si>
    <t>認証番号</t>
  </si>
  <si>
    <t>**wskakunin_gaiyou1_NINSYOU_NO</t>
  </si>
  <si>
    <t>cst_wskakunin_gaiyou1_NINSYOU_NO</t>
  </si>
  <si>
    <t>その他必要事項+認証番号</t>
  </si>
  <si>
    <t>**wskakunin_gaiyou1_SONOTA_and_NINSYOU_NO</t>
  </si>
  <si>
    <t>cst_wskakunin_gaiyou1_SONOTA_and_NINSYOU_NO</t>
  </si>
  <si>
    <t>10.建築面積</t>
  </si>
  <si>
    <t>申請部分</t>
  </si>
  <si>
    <t>**wskakunin_KENTIKU_MENSEKI_SHINSEI</t>
  </si>
  <si>
    <t>cst_wskakunin_KENTIKU_MENSEKI_SHINSEI</t>
  </si>
  <si>
    <t>申請以外の部分</t>
  </si>
  <si>
    <t>**wskakunin_KENTIKU_MENSEKI_IGAI</t>
  </si>
  <si>
    <t>cst_wskakunin_KENTIKU_MENSEKI_IGAI</t>
  </si>
  <si>
    <t>合計</t>
  </si>
  <si>
    <t>**wskakunin_KENTIKU_MENSEKI_TOTAL</t>
  </si>
  <si>
    <t>cst_wskakunin_KENTIKU_MENSEKI_TOTAL</t>
  </si>
  <si>
    <t>**wskakunin_KENPEI_RITU</t>
  </si>
  <si>
    <t>cst_wskakunin_KENPEI_RITU</t>
  </si>
  <si>
    <t>11.延べ面積</t>
  </si>
  <si>
    <t>建築物全体</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</si>
  <si>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</si>
  <si>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</si>
  <si>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</si>
  <si>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</si>
  <si>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</si>
  <si>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</si>
  <si>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地階の住宅</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</si>
  <si>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</si>
  <si>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</si>
  <si>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</si>
  <si>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</si>
  <si>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</si>
  <si>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</si>
  <si>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エレベーター</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</si>
  <si>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</si>
  <si>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</si>
  <si>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</si>
  <si>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</si>
  <si>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</si>
  <si>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</si>
  <si>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共同住宅の共用</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</si>
  <si>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</si>
  <si>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</si>
  <si>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</si>
  <si>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</si>
  <si>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</si>
  <si>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</si>
  <si>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自動車車庫等の部分</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</si>
  <si>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</si>
  <si>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</si>
  <si>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</si>
  <si>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</si>
  <si>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</si>
  <si>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</si>
  <si>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備蓄倉庫の部分</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</si>
  <si>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</si>
  <si>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</si>
  <si>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</si>
  <si>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</si>
  <si>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</si>
  <si>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</si>
  <si>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蓄電池の設置部分</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</si>
  <si>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</si>
  <si>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</si>
  <si>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</si>
  <si>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</si>
  <si>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</si>
  <si>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</si>
  <si>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自家発電設備</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</si>
  <si>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</si>
  <si>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</si>
  <si>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</si>
  <si>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</si>
  <si>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</si>
  <si>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</si>
  <si>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有無表示</t>
  </si>
  <si>
    <t>貯水槽の設置部分</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</si>
  <si>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</si>
  <si>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</si>
  <si>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</si>
  <si>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</si>
  <si>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</si>
  <si>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</si>
  <si>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宅配ﾎﾞｯｸｽの設置部分</t>
  </si>
  <si>
    <t>**wskakunin_NOBE_MENSEKI_TAKUHAI_SHINSEI</t>
  </si>
  <si>
    <t>cst_wskakunin_NOBE_MENSEKI_TAKUHAI_SHINSEI</t>
  </si>
  <si>
    <t>**wskakunin_NOBE_MENSEKI_TAKUHAI_IGAI</t>
  </si>
  <si>
    <t>cst_wskakunin_NOBE_MENSEKI_TAKUHAI_IGAI</t>
  </si>
  <si>
    <t>**wskakunin_NOBE_MENSEKI_TAKUHAI_TOTAL</t>
  </si>
  <si>
    <t>cst_wskakunin_NOBE_MENSEKI_TAKUHAI_TOTAL</t>
  </si>
  <si>
    <t>住宅の部分</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</si>
  <si>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</si>
  <si>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</si>
  <si>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</si>
  <si>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</si>
  <si>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</si>
  <si>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</si>
  <si>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老人ホーム</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</si>
  <si>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</si>
  <si>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</si>
  <si>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</si>
  <si>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</si>
  <si>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</si>
  <si>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</si>
  <si>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延べ面積</t>
  </si>
  <si>
    <t>**wskakunin_NOBE_MENSEKI</t>
  </si>
  <si>
    <t>cst_wskakunin_NOBE_MENSEKI</t>
  </si>
  <si>
    <t>**wskakunin_YOUSEKI_RITU</t>
  </si>
  <si>
    <t>cst_wskakunin_YOUSEKI_RITU</t>
  </si>
  <si>
    <t>12.建築物の数</t>
  </si>
  <si>
    <t>申請に係る建築物の数</t>
  </si>
  <si>
    <t>**wskakunin_BUILD_SHINSEI_COUNT</t>
  </si>
  <si>
    <t>cst_wskakunin_BUILD_SHINSEI_COUNT</t>
  </si>
  <si>
    <t>同一敷地内の他の建築物の数</t>
  </si>
  <si>
    <t>**wskakunin_BUILD_SONOTA_COUNT</t>
  </si>
  <si>
    <t>cst_wskakunin_BUILD_SONOTA_COUNT</t>
  </si>
  <si>
    <t>13.建築物の高さ等</t>
  </si>
  <si>
    <t>最高の高さ</t>
  </si>
  <si>
    <t>申請に係る建築物</t>
  </si>
  <si>
    <t>**wskakunin_TAKASA_MAX_SHINSEI</t>
  </si>
  <si>
    <t>cst_wskakunin_TAKASA_MAX_SHINSEI</t>
  </si>
  <si>
    <t>他の建築物</t>
  </si>
  <si>
    <t>**wskakunin_TAKASA_MAX_SONOTA</t>
  </si>
  <si>
    <t>cst_wskakunin_TAKASA_MAX_SONOTA</t>
  </si>
  <si>
    <t>階数-地上</t>
  </si>
  <si>
    <t>**wskakunin_KAISU_TIJYOU_SHINSEI</t>
  </si>
  <si>
    <t>cst_wskakunin_KAISU_TIJYOU_SHINSEI</t>
  </si>
  <si>
    <t>**wskakunin_KAISU_TIJYOU_SONOTA</t>
  </si>
  <si>
    <t>cst_wskakunin_KAISU_TIJYOU_SONOTA</t>
  </si>
  <si>
    <t>階数-地下</t>
  </si>
  <si>
    <t>**wskakunin_KAISU_TIKA_SHINSEI__zero</t>
  </si>
  <si>
    <t>cst_wskakunin_KAISU_TIKA_SHINSEI__zero</t>
  </si>
  <si>
    <t>**wskakunin_KAISU_TIKA_SONOTA</t>
  </si>
  <si>
    <t>cst_wskakunin_KAISU_TIKA_SONOTA</t>
  </si>
  <si>
    <t>**wskakunin_KOUZOU1</t>
  </si>
  <si>
    <t>cst_wskakunin_KOUZOU1</t>
  </si>
  <si>
    <t>一部</t>
  </si>
  <si>
    <t>**wskakunin_KOUZOU2</t>
  </si>
  <si>
    <t>cst_wskakunin_KOUZOU2</t>
  </si>
  <si>
    <t>cst_wskakunin_KOUZOU_mokuzou</t>
  </si>
  <si>
    <t>cst_wskakunin_KOUZOU_zairai</t>
  </si>
  <si>
    <t>cst_wskakunin_KOUZOU</t>
  </si>
  <si>
    <t>特例の適用の有無</t>
  </si>
  <si>
    <t>特例の有無</t>
  </si>
  <si>
    <t>**wskakunin_TOKUREI_TAKASA</t>
  </si>
  <si>
    <t>cst_wskakunin_TOKUREI_TAKASA</t>
  </si>
  <si>
    <t>ボックス-有</t>
  </si>
  <si>
    <t>cst_wskakunin_TOKUREI_TAKASA_box_on</t>
  </si>
  <si>
    <t>ボックス-無</t>
  </si>
  <si>
    <t>cst_wskakunin_TOKUREI_TAKASA_box_off</t>
  </si>
  <si>
    <t>特例の区分</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</si>
  <si>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</si>
  <si>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</si>
  <si>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</si>
  <si>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</si>
  <si>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</si>
  <si>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</si>
  <si>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</si>
  <si>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</si>
  <si>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</si>
  <si>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14.許可認定等</t>
  </si>
  <si>
    <t>**wskakunin_kyoka##_****</t>
  </si>
  <si>
    <t>根拠となる法令</t>
  </si>
  <si>
    <t>**wskakunin_kyoka01_HOUREI</t>
  </si>
  <si>
    <t>cst_wskakunin_kyoka01_HOUREI</t>
  </si>
  <si>
    <t>根拠となる法令の条項</t>
  </si>
  <si>
    <t>**wskakunin_kyoka01_JOUKOU</t>
  </si>
  <si>
    <t>cst_wskakunin_kyoka01_JOUKOU</t>
  </si>
  <si>
    <t>許可・認定等の番号</t>
  </si>
  <si>
    <t>**wskakunin_kyoka01_KYOKA_NO</t>
  </si>
  <si>
    <t>cst_wskakunin_kyoka01_KYOKA_NO</t>
  </si>
  <si>
    <t>認可・認定等を受けた日付</t>
  </si>
  <si>
    <t>**wskakunin_kyoka01_KYOKA_DATE</t>
  </si>
  <si>
    <t>cst_wskakunin_kyoka01_KYOKA_DATE</t>
  </si>
  <si>
    <t>**wskakunin_kyoka01_BIKOU</t>
  </si>
  <si>
    <t>cst_wskakunin_kyoka01_BIKOU</t>
  </si>
  <si>
    <t>許可01一括出力</t>
  </si>
  <si>
    <t>2.</t>
  </si>
  <si>
    <t>**wskakunin_kyoka02_HOUREI</t>
  </si>
  <si>
    <t>cst_wskakunin_kyoka02_HOUREI</t>
  </si>
  <si>
    <t>**wskakunin_kyoka02_JOUKOU</t>
  </si>
  <si>
    <t>cst_wskakunin_kyoka02_JOUKOU</t>
  </si>
  <si>
    <t>**wskakunin_kyoka02_KYOKA_NO</t>
  </si>
  <si>
    <t>cst_wskakunin_kyoka02_KYOKA_NO</t>
  </si>
  <si>
    <t>**wskakunin_kyoka02_KYOKA_DATE</t>
  </si>
  <si>
    <t>cst_wskakunin_kyoka02_KYOKA_DATE</t>
  </si>
  <si>
    <t>**wskakunin_kyoka02_BIKOU</t>
  </si>
  <si>
    <t>cst_wskakunin_kyoka02_BIKOU</t>
  </si>
  <si>
    <t>許可02一括出力</t>
  </si>
  <si>
    <t>3.</t>
  </si>
  <si>
    <t>**wskakunin_kyoka03_HOUREI</t>
  </si>
  <si>
    <t>cst_wskakunin_kyoka03_HOUREI</t>
  </si>
  <si>
    <t>**wskakunin_kyoka03_JOUKOU</t>
  </si>
  <si>
    <t>cst_wskakunin_kyoka03_JOUKOU</t>
  </si>
  <si>
    <t>**wskakunin_kyoka03_KYOKA_NO</t>
  </si>
  <si>
    <t>cst_wskakunin_kyoka03_KYOKA_NO</t>
  </si>
  <si>
    <t>**wskakunin_kyoka03_KYOKA_DATE</t>
  </si>
  <si>
    <t>cst_wskakunin_kyoka03_KYOKA_DATE</t>
  </si>
  <si>
    <t>**wskakunin_kyoka03_BIKOU</t>
  </si>
  <si>
    <t>cst_wskakunin_kyoka03_BIKOU</t>
  </si>
  <si>
    <t>許可03一括出力</t>
  </si>
  <si>
    <t>一括出力</t>
  </si>
  <si>
    <t>cst_wskakunin_kyoka_HOUREI_all</t>
  </si>
  <si>
    <t>現在、３行対応。</t>
  </si>
  <si>
    <t>15.工事着手予定年月日</t>
  </si>
  <si>
    <t>**wskakunin_KOUJI_TYAKUSYU_YOTEI_DATE</t>
  </si>
  <si>
    <t>cst_wskakunin_KOUJI_TYAKUSYU_YOTEI_DATE</t>
  </si>
  <si>
    <t>16.工事完了予定年月日</t>
  </si>
  <si>
    <t>**wskakunin_KOUJI_KANRYOU_YOTEI_DATE</t>
  </si>
  <si>
    <t>cst_wskakunin_KOUJI_KANRYOU_YOTEI_DATE</t>
  </si>
  <si>
    <t>工事期間-年</t>
  </si>
  <si>
    <t>cst_koujikikan_year</t>
  </si>
  <si>
    <t>工事期間-月</t>
  </si>
  <si>
    <t>cst_koujikikan_month</t>
  </si>
  <si>
    <t>17.特定工程工事終了予定年月日</t>
  </si>
  <si>
    <t>回数</t>
  </si>
  <si>
    <t>**wskakunin_koutei01_KOUTEI_KAISUU</t>
  </si>
  <si>
    <t>cst_wskakunin_koutei01_KOUTEI_KAISUU</t>
  </si>
  <si>
    <t>終了予定日</t>
  </si>
  <si>
    <t>**wskakunin_koutei01_KOUTEI_DATE</t>
  </si>
  <si>
    <t>cst_wskakunin_koutei01_KOUTEI_DATE</t>
  </si>
  <si>
    <t>特定工程</t>
  </si>
  <si>
    <t>**wskakunin_koutei01_KOUTEI_TEXT</t>
  </si>
  <si>
    <t>cst_wskakunin_koutei01_KOUTEI_TEXT</t>
  </si>
  <si>
    <t>**wskakunin_koutei02_KOUTEI_KAISUU</t>
  </si>
  <si>
    <t>cst_wskakunin_koutei02_KOUTEI_KAISUU</t>
  </si>
  <si>
    <t>**wskakunin_koutei02_KOUTEI_DATE</t>
  </si>
  <si>
    <t>cst_wskakunin_koutei02_KOUTEI_DATE</t>
  </si>
  <si>
    <t>**wskakunin_koutei02_KOUTEI_TEXT</t>
  </si>
  <si>
    <t>cst_wskakunin_koutei02_KOUTEI_TEXT</t>
  </si>
  <si>
    <t>**wskakunin_koutei03_KOUTEI_KAISUU</t>
  </si>
  <si>
    <t>cst_wskakunin_koutei03_KOUTEI_KAISUU</t>
  </si>
  <si>
    <t>**wskakunin_koutei03_KOUTEI_DATE</t>
  </si>
  <si>
    <t>cst_wskakunin_koutei03_KOUTEI_DATE</t>
  </si>
  <si>
    <t>**wskakunin_koutei03_KOUTEI_TEXT</t>
  </si>
  <si>
    <t>cst_wskakunin_koutei03_KOUTEI_TEXT</t>
  </si>
  <si>
    <t>4.</t>
  </si>
  <si>
    <t>**wskakunin_koutei04_KOUTEI_KAISUU</t>
  </si>
  <si>
    <t>cst_wskakunin_koutei04_KOUTEI_KAISUU</t>
  </si>
  <si>
    <t>**wskakunin_koutei04_KOUTEI_DATE</t>
  </si>
  <si>
    <t>cst_wskakunin_koutei04_KOUTEI_DATE</t>
  </si>
  <si>
    <t>**wskakunin_koutei04_KOUTEI_TEXT</t>
  </si>
  <si>
    <t>cst_wskakunin_koutei04_KOUTEI_TEXT</t>
  </si>
  <si>
    <t>防火設備の有無</t>
  </si>
  <si>
    <t>**wskakunin_BOUKA_SETUBI_FLAG</t>
  </si>
  <si>
    <t>cst_wskakunin_BOUKA_SETUBI_FLAG</t>
  </si>
  <si>
    <t>cst_wskakunin_BOUKA_SETUBI_FLAG_box_on</t>
  </si>
  <si>
    <t>cst_wskakunin_BOUKA_SETUBI_FLAG_box_off</t>
  </si>
  <si>
    <t>18.その他必要な事項</t>
  </si>
  <si>
    <t>**wskakunin_P3_SONOTA</t>
  </si>
  <si>
    <t>cst_wskakunin_P3_SONOTA</t>
  </si>
  <si>
    <t>19.備考</t>
  </si>
  <si>
    <t>**wskakunin_P3_BIKOU</t>
  </si>
  <si>
    <t>cst_wskakunin_P3_BIKOU</t>
  </si>
  <si>
    <t>中間検査申請</t>
  </si>
  <si>
    <t>【2.工事種別】</t>
  </si>
  <si>
    <t>【ｲ.建築基準法施工令第10条各号に掲げる建築物の区分</t>
  </si>
  <si>
    <t>文字出力</t>
  </si>
  <si>
    <t>cst_wskakunin_TOKUREI_txt</t>
  </si>
  <si>
    <t>第１号</t>
  </si>
  <si>
    <t>**wskakunin_TOKUREI_1</t>
  </si>
  <si>
    <t>第２号</t>
  </si>
  <si>
    <t>**wskakunin_TOKUREI_2</t>
  </si>
  <si>
    <t>第３号</t>
  </si>
  <si>
    <t>**wskakunin_TOKUREI_3</t>
  </si>
  <si>
    <t>第４号</t>
  </si>
  <si>
    <t>**wskakunin_TOKUREI_4</t>
  </si>
  <si>
    <t>1</t>
  </si>
  <si>
    <t>【ﾊ.建築基準法第68条の20第２項の検査の特例に係る認証番号</t>
  </si>
  <si>
    <t>**wskakunin_KENTIKU_NINSYO_NO</t>
  </si>
  <si>
    <t>cst_wskakunin_KENTIKU_NINSYO_NO</t>
  </si>
  <si>
    <t>【6.工事着手年月日】</t>
  </si>
  <si>
    <t>**wskakunin_KOUJI_TYAKUSYU_DATE</t>
  </si>
  <si>
    <t>cst_wskakunin_KOUJI_TYAKUSYU_DATE_select</t>
  </si>
  <si>
    <t>※ 確認時：出力しない</t>
  </si>
  <si>
    <t>【7.工事完了予定年月日】</t>
  </si>
  <si>
    <t>西暦</t>
  </si>
  <si>
    <t>cst_wskakunin_KOUJI_KANRYOU_YOTEI_DATE_select</t>
  </si>
  <si>
    <t>【8.特定工程】</t>
  </si>
  <si>
    <t>【ｲ.特定工程】</t>
  </si>
  <si>
    <t>**wskakunin_TOKUTEI_KOUTEI</t>
  </si>
  <si>
    <t>土台、柱、はり及び筋かいを金物等により接合する工事の工程</t>
  </si>
  <si>
    <t>cst_wskakunin_TOKUTEI_KOUTEI</t>
  </si>
  <si>
    <t>select （ 1枚目と2枚目の処理が必要 ）</t>
  </si>
  <si>
    <t xml:space="preserve"> - 中間1枚目</t>
  </si>
  <si>
    <t>cst_wskakunin_TOKUTEI_KOUTEI_inter1</t>
  </si>
  <si>
    <t xml:space="preserve"> - 中間2枚目</t>
  </si>
  <si>
    <t>cst_wskakunin_TOKUTEI_KOUTEI_inter2</t>
  </si>
  <si>
    <t>【ﾛ.特定工程工事終了年月日】</t>
  </si>
  <si>
    <t>**wskakunin_TOKUTEI_KOUJI_KANRYOU_DATE</t>
  </si>
  <si>
    <t>cst_wskakunin_TOKUTEI_KOUJI_KANRYOU_DATE_select</t>
  </si>
  <si>
    <t>【ﾊ.検査対象床面積】</t>
  </si>
  <si>
    <t>**wskakunin_KENSA_YUKA_MENSEKI</t>
  </si>
  <si>
    <t>cst_wskakunin_KENSA_YUKA_MENSEKI_select</t>
  </si>
  <si>
    <t>【9.今回申請以前の中間検査】</t>
  </si>
  <si>
    <t>**wskakunin_koutei_izen01_KOUTEI_KAISUU</t>
  </si>
  <si>
    <t>cst_wskakunin_koutei_izen01_KOUTEI_KAISUU</t>
  </si>
  <si>
    <t>**wskakunin_koutei_izen01_KOUTEI_TEXT</t>
  </si>
  <si>
    <t>cst_wskakunin_koutei_izen01_KOUTEI_TEXT</t>
  </si>
  <si>
    <t>【ﾛ.中間検査合格証交付者】</t>
  </si>
  <si>
    <t>**wskakunin_koutei_izen01_INTER_ISSUE_NAME</t>
  </si>
  <si>
    <t>cst_wskakunin_koutei_izen01_INTER_ISSUE_NAME</t>
  </si>
  <si>
    <t>【ﾊ.中間検査合格証番号】</t>
  </si>
  <si>
    <t>**wskakunin_koutei_izen01_INTER_ISSUE_NO</t>
  </si>
  <si>
    <t>cst_wskakunin_koutei_izen01_INTER_ISSUE_NO</t>
  </si>
  <si>
    <t>【ﾆ.交付年月日】</t>
  </si>
  <si>
    <t>**wskakunin_koutei_izen01_INTER_ISSUE_DATE</t>
  </si>
  <si>
    <t>cst_wskakunin_koutei_izen01_INTER_ISSUE_DATE</t>
  </si>
  <si>
    <t>**wskakunin_koutei_izen02_KOUTEI_KAISUU</t>
  </si>
  <si>
    <t>cst_wskakunin_koutei_izen02_KOUTEI_KAISUU</t>
  </si>
  <si>
    <t>**wskakunin_koutei_izen02_KOUTEI_TEXT</t>
  </si>
  <si>
    <t>cst_wskakunin_koutei_izen02_KOUTEI_TEXT</t>
  </si>
  <si>
    <t>**wskakunin_koutei_izen02_INTER_ISSUE_NAME</t>
  </si>
  <si>
    <t>cst_wskakunin_koutei_izen02_INTER_ISSUE_NAME</t>
  </si>
  <si>
    <t>**wskakunin_koutei_izen02_INTER_ISSUE_NO</t>
  </si>
  <si>
    <t>cst_wskakunin_koutei_izen02_INTER_ISSUE_NO</t>
  </si>
  <si>
    <t>**wskakunin_koutei_izen02_INTER_ISSUE_DATE</t>
  </si>
  <si>
    <t>cst_wskakunin_koutei_izen02_INTER_ISSUE_DATE</t>
  </si>
  <si>
    <t>**wskakunin_koutei_izen03_KOUTEI_KAISUU</t>
  </si>
  <si>
    <t>cst_wskakunin_koutei_izen03_KOUTEI_KAISUU</t>
  </si>
  <si>
    <t>**wskakunin_koutei_izen03_KOUTEI_TEXT</t>
  </si>
  <si>
    <t>cst_wskakunin_koutei_izen03_KOUTEI_TEXT</t>
  </si>
  <si>
    <t>**wskakunin_koutei_izen03_INTER_ISSUE_NAME</t>
  </si>
  <si>
    <t>cst_wskakunin_koutei_izen03_INTER_ISSUE_NAME</t>
  </si>
  <si>
    <t>**wskakunin_koutei_izen03_INTER_ISSUE_NO</t>
  </si>
  <si>
    <t>cst_wskakunin_koutei_izen03_INTER_ISSUE_NO</t>
  </si>
  <si>
    <t>**wskakunin_koutei_izen03_INTER_ISSUE_DATE</t>
  </si>
  <si>
    <t>cst_wskakunin_koutei_izen03_INTER_ISSUE_DATE</t>
  </si>
  <si>
    <t>**wskakunin_koutei_izen04_KOUTEI_KAISUU</t>
  </si>
  <si>
    <t>cst_wskakunin_koutei_izen04_KOUTEI_KAISUU</t>
  </si>
  <si>
    <t>**wskakunin_koutei_izen04_KOUTEI_TEXT</t>
  </si>
  <si>
    <t>cst_wskakunin_koutei_izen04_KOUTEI_TEXT</t>
  </si>
  <si>
    <t>**wskakunin_koutei_izen04_INTER_ISSUE_NAME</t>
  </si>
  <si>
    <t>cst_wskakunin_koutei_izen04_INTER_ISSUE_NAME</t>
  </si>
  <si>
    <t>**wskakunin_koutei_izen04_INTER_ISSUE_NO</t>
  </si>
  <si>
    <t>cst_wskakunin_koutei_izen04_INTER_ISSUE_NO</t>
  </si>
  <si>
    <t>**wskakunin_koutei_izen04_INTER_ISSUE_DATE</t>
  </si>
  <si>
    <t>cst_wskakunin_koutei_izen04_INTER_ISSUE_DATE</t>
  </si>
  <si>
    <t>以前の中間 左側：</t>
  </si>
  <si>
    <t>中間1枚目出力用</t>
  </si>
  <si>
    <t xml:space="preserve"> - 回数</t>
  </si>
  <si>
    <t>cst_wskakunin_koutei_izen01_KOUTEI_KAISUU_inter1</t>
  </si>
  <si>
    <t xml:space="preserve"> - 【ｲ.特定工程】</t>
  </si>
  <si>
    <t>cst_wskakunin_koutei_izen01_KOUTEI_TEXT_inter1</t>
  </si>
  <si>
    <t xml:space="preserve"> - 【ﾛ.中間検査合格証交付者】</t>
  </si>
  <si>
    <t>cst_wskakunin_koutei_izen01_INTER_ISSUE_NAME_inter1</t>
  </si>
  <si>
    <t xml:space="preserve"> - 【ﾊ.中間検査合格証番号】</t>
  </si>
  <si>
    <t>cst_wskakunin_koutei_izen01_INTER_ISSUE_NO_inter1</t>
  </si>
  <si>
    <t xml:space="preserve"> - 【ﾆ.交付年月日】</t>
  </si>
  <si>
    <t>cst_wskakunin_koutei_izen01_INTER_ISSUE_DATE_inter1</t>
  </si>
  <si>
    <t>中間2枚目出力用</t>
  </si>
  <si>
    <t>※ 確認時：特定工程1の入力があれば出力</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</si>
  <si>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</si>
  <si>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</si>
  <si>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</si>
  <si>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</si>
  <si>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</si>
  <si>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</si>
  <si>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</si>
  <si>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</si>
  <si>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</si>
  <si>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</si>
  <si>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</si>
  <si>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</si>
  <si>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</si>
  <si>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</si>
  <si>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</si>
  <si>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</si>
  <si>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【10.今回申請以降の中間検査】</t>
  </si>
  <si>
    <t>**wskakunin_koutei_ikou01_KOUTEI_KAISUU</t>
  </si>
  <si>
    <t>cst_wskakunin_koutei_ikou01_KOUTEI_KAISUU</t>
  </si>
  <si>
    <t>**wskakunin_koutei_ikou01_KOUTEI_TEXT</t>
  </si>
  <si>
    <t>cst_wskakunin_koutei_ikou01_KOUTEI_TEXT</t>
  </si>
  <si>
    <t>【ﾛ.特定工程工事終了予定年月日】</t>
  </si>
  <si>
    <t>**wskakunin_koutei_ikou01_KOUTEI_DATE</t>
  </si>
  <si>
    <t>cst_wskakunin_koutei_ikou01_KOUTEI_DATE</t>
  </si>
  <si>
    <t>2</t>
  </si>
  <si>
    <t>**wskakunin_koutei_ikou02_KOUTEI_KAISUU</t>
  </si>
  <si>
    <t>cst_wskakunin_koutei_ikou02_KOUTEI_KAISUU</t>
  </si>
  <si>
    <t>**wskakunin_koutei_ikou02_KOUTEI_TEXT</t>
  </si>
  <si>
    <t>cst_wskakunin_koutei_ikou02_KOUTEI_TEXT</t>
  </si>
  <si>
    <t>**wskakunin_koutei_ikou02_KOUTEI_DATE</t>
  </si>
  <si>
    <t>cst_wskakunin_koutei_ikou02_KOUTEI_DATE</t>
  </si>
  <si>
    <t>以降の中間 左側：</t>
  </si>
  <si>
    <t>※ 中間1枚目 - 確認時：特定工程2があれば出力</t>
  </si>
  <si>
    <t>cst_wskakunin_koutei_ikou01_KOUTEI_KAISUU_inter1</t>
  </si>
  <si>
    <t>cst_wskakunin_koutei_ikou01_KOUTEI_TEXT_inter1</t>
  </si>
  <si>
    <t xml:space="preserve"> - 【ﾛ.特定工程工事終了予定年月日】</t>
  </si>
  <si>
    <t>cst_wskakunin_koutei_ikou01_KOUTEI_DATE_inter1</t>
  </si>
  <si>
    <t>※ 中間2枚目 - 確認時：特定工程3があれば出力</t>
  </si>
  <si>
    <t>cst_wskakunin_koutei_ikou01_KOUTEI_KAISUU_inter2</t>
  </si>
  <si>
    <t>cst_wskakunin_koutei_ikou01_KOUTEI_TEXT_inter2</t>
  </si>
  <si>
    <t>cst_wskakunin_koutei_ikou01_KOUTEI_DATE_inter2</t>
  </si>
  <si>
    <t>以降の中間 右側：</t>
  </si>
  <si>
    <t>※ 中間1枚目 - 確認時：特定工程3があれば出力</t>
  </si>
  <si>
    <t>cst_wskakunin_koutei_ikou02_KOUTEI_KAISUU_inter1</t>
  </si>
  <si>
    <t>cst_wskakunin_koutei_ikou02_KOUTEI_TEXT_inter1</t>
  </si>
  <si>
    <t>cst_wskakunin_koutei_ikou02_KOUTEI_DATE_inter1</t>
  </si>
  <si>
    <t>※ 中間2枚目 - 確認時：特定工程4があれば出力</t>
  </si>
  <si>
    <t>cst_wskakunin_koutei_ikou02_KOUTEI_KAISUU_inter2</t>
  </si>
  <si>
    <t>cst_wskakunin_koutei_ikou02_KOUTEI_TEXT_inter2</t>
  </si>
  <si>
    <t>cst_wskakunin_koutei_ikou02_KOUTEI_DATE_inter2</t>
  </si>
  <si>
    <t>【11.確認以降の軽微な変更の概要】</t>
  </si>
  <si>
    <t>wskakunin_keibi_henkou01_</t>
  </si>
  <si>
    <t>【ｲ.変更された設計図書の種類】</t>
  </si>
  <si>
    <t>**wskakunin_keibi_henkou01_HENKOU_SYURUI</t>
  </si>
  <si>
    <t>cst_wskakunin_keibi_henkou01_HENKOU_SYURUI</t>
  </si>
  <si>
    <t>【ﾛ.変更の概要】</t>
  </si>
  <si>
    <t>**wskakunin_keibi_henkou01_HENKOU_GAIYOU</t>
  </si>
  <si>
    <t>cst_wskakunin_keibi_henkou01_HENKOU_GAIYOU</t>
  </si>
  <si>
    <t>完了検査申請</t>
  </si>
  <si>
    <t>【7.工事完了年月日】</t>
  </si>
  <si>
    <t>**wskakunin_KOUJI_KANRYOU_DATE</t>
  </si>
  <si>
    <t>cst_wskakunin_KOUJI_KANRYOU_DATE_select</t>
  </si>
  <si>
    <t>【9.検査経過】</t>
  </si>
  <si>
    <t>左側：</t>
  </si>
  <si>
    <t>※ 確認(10)、完了(40)で用いる</t>
  </si>
  <si>
    <t xml:space="preserve">【ﾛ.中間検査合格証交付者】 </t>
  </si>
  <si>
    <t>**wskakunin_koutei01_INTER_ISSUE_NAME</t>
  </si>
  <si>
    <t>cst_wskakunin_koutei01_INTER_ISSUE_NAME</t>
  </si>
  <si>
    <t>**wskakunin_koutei01_INTER_ISSUE_NO</t>
  </si>
  <si>
    <t>cst_wskakunin_koutei01_INTER_ISSUE_NO</t>
  </si>
  <si>
    <t>**wskakunin_koutei01_INTER_ISSUE_DATE</t>
  </si>
  <si>
    <t>cst_wskakunin_koutei01_INTER_ISSUE_DATE</t>
  </si>
  <si>
    <t>出力用</t>
  </si>
  <si>
    <t>cst_wskakunin_koutei_keika01_KOUTEI_KAISUU_select</t>
  </si>
  <si>
    <t>cst_wskakunin_koutei_keika01_KOUTEI_TEXT_select</t>
  </si>
  <si>
    <t>cst_wskakunin_koutei_keika01_INTER_ISSUE_NAME_select</t>
  </si>
  <si>
    <t>cst_wskakunin_koutei_keika01_INTER_ISSUE_NO_select</t>
  </si>
  <si>
    <t>cst_wskakunin_koutei_keika01_INTER_ISSUE_DATE_select</t>
  </si>
  <si>
    <t>右側：</t>
  </si>
  <si>
    <t>**wskakunin_koutei02_INTER_ISSUE_NAME</t>
  </si>
  <si>
    <t>cst_wskakunin_koutei02_INTER_ISSUE_NAME</t>
  </si>
  <si>
    <t>**wskakunin_koutei02_INTER_ISSUE_NO</t>
  </si>
  <si>
    <t>cst_wskakunin_koutei02_INTER_ISSUE_NO</t>
  </si>
  <si>
    <t>**wskakunin_koutei02_INTER_ISSUE_DATE</t>
  </si>
  <si>
    <t>cst_wskakunin_koutei02_INTER_ISSUE_DATE</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</si>
  <si>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</si>
  <si>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</si>
  <si>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</si>
  <si>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</si>
  <si>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</si>
  <si>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基準法より</t>
  </si>
  <si>
    <t>**shinsei_build_YOUTO</t>
  </si>
  <si>
    <t>一戸建ての住宅</t>
  </si>
  <si>
    <t>cst_shinsei_build_YOUTO</t>
  </si>
  <si>
    <t>cls_JOB_SET_KIND_erea</t>
  </si>
  <si>
    <t>cls_JOB_SET_KIND_base_point</t>
  </si>
  <si>
    <t>不明な申請</t>
  </si>
  <si>
    <t>基準法</t>
  </si>
  <si>
    <t>適合証明</t>
  </si>
  <si>
    <t>性能評価</t>
  </si>
  <si>
    <t>*</t>
  </si>
  <si>
    <t>cls_TARGET_KIND_erea</t>
  </si>
  <si>
    <t>cls_TARGET_KIND_base_point</t>
  </si>
  <si>
    <t>建築設備</t>
  </si>
  <si>
    <t>工作物(88-1)</t>
  </si>
  <si>
    <t>工作物(88-2)</t>
  </si>
  <si>
    <t>cls_JOB_KIND_erea</t>
  </si>
  <si>
    <t>cls_JOB_KIND_base_point</t>
  </si>
  <si>
    <t>確認申請</t>
  </si>
  <si>
    <t>計画変更</t>
  </si>
  <si>
    <t>中間検査</t>
  </si>
  <si>
    <t>完了検査</t>
  </si>
  <si>
    <t>その他申請</t>
  </si>
  <si>
    <t>申請書</t>
  </si>
  <si>
    <t>建ぺい率</t>
  </si>
  <si>
    <t>工事届</t>
  </si>
  <si>
    <t>二級</t>
  </si>
  <si>
    <t>木造</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</si>
  <si>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</si>
  <si>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</si>
  <si>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</si>
  <si>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</si>
  <si>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</si>
  <si>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</si>
  <si>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</si>
  <si>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</si>
  <si>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</si>
  <si>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</si>
  <si>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</si>
  <si>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</si>
  <si>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建物構造</t>
  </si>
  <si>
    <t>用途区分（建築物）</t>
  </si>
  <si>
    <t>名称（建築物）</t>
  </si>
  <si>
    <t>用途区分（工作物1）</t>
  </si>
  <si>
    <t>名称（工作物1）</t>
  </si>
  <si>
    <t>用途区分（工作物2）</t>
  </si>
  <si>
    <t>名称（工作物2）</t>
  </si>
  <si>
    <t>耐火建築物</t>
  </si>
  <si>
    <t>便所の種類</t>
  </si>
  <si>
    <t>埼玉県知事</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</si>
  <si>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</si>
  <si>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</si>
  <si>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</si>
  <si>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</si>
  <si>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</si>
  <si>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</si>
  <si>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</si>
  <si>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居住専用住宅（附属建築物を除く。）</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</si>
  <si>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</si>
  <si>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</si>
  <si>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</si>
  <si>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</si>
  <si>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</si>
  <si>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</si>
  <si>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</si>
  <si>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</si>
  <si>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</si>
  <si>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</si>
  <si>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</si>
  <si>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居住専用住宅附属建築物（物置，車庫等）</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</si>
  <si>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</si>
  <si>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</si>
  <si>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</si>
  <si>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</si>
  <si>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</si>
  <si>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</si>
  <si>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</si>
  <si>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</si>
  <si>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</si>
  <si>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</si>
  <si>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</si>
  <si>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寮，寄宿舎，合宿所（附属建築物を除く。）</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</si>
  <si>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</si>
  <si>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</si>
  <si>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</si>
  <si>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</si>
  <si>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</si>
  <si>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</si>
  <si>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</si>
  <si>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</si>
  <si>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</si>
  <si>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</si>
  <si>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寮，寄宿舎，合宿所附属建築物（物置，車庫等）</t>
  </si>
  <si>
    <t>茨城県知事</t>
  </si>
  <si>
    <t>鉄筋コンクリート造</t>
  </si>
  <si>
    <t>08050</t>
  </si>
  <si>
    <t>下宿</t>
  </si>
  <si>
    <t>06350</t>
  </si>
  <si>
    <t>擁壁</t>
  </si>
  <si>
    <t>06450</t>
  </si>
  <si>
    <t>汚物処理場、ごみ焼却場その他の処理施設の用途に供するもの</t>
  </si>
  <si>
    <t>準耐火建築物（ロ-2）</t>
  </si>
  <si>
    <t>05</t>
  </si>
  <si>
    <t>他に分類されない居住専用建築物</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</si>
  <si>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</si>
  <si>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</si>
  <si>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</si>
  <si>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</si>
  <si>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</si>
  <si>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</si>
  <si>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</si>
  <si>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農業，林業，漁業，水産養殖業</t>
  </si>
  <si>
    <t>群馬県知事</t>
  </si>
  <si>
    <t>08070</t>
  </si>
  <si>
    <t>幼稚園</t>
  </si>
  <si>
    <t xml:space="preserve">06370 </t>
  </si>
  <si>
    <t>メリーゴーランド、観覧車、オクトパス、飛行塔その他これらに類する回転運動をする遊戯施設で原動機を使用するもの</t>
  </si>
  <si>
    <t>鉱業，採石業，砂利採取業</t>
  </si>
  <si>
    <t>北海道知事</t>
  </si>
  <si>
    <t>08080</t>
  </si>
  <si>
    <t>小学校</t>
  </si>
  <si>
    <t>建設業</t>
  </si>
  <si>
    <t>青森県知事</t>
  </si>
  <si>
    <t>08090</t>
  </si>
  <si>
    <t>中学校又は高等学校</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</si>
  <si>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</si>
  <si>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岩手県知事</t>
  </si>
  <si>
    <t>08100</t>
  </si>
  <si>
    <t>養護学校、盲学校又は聾学校</t>
  </si>
  <si>
    <t>化学工業，石油製品・石炭製品製造業</t>
  </si>
  <si>
    <t>宮城県知事</t>
  </si>
  <si>
    <t>08110</t>
  </si>
  <si>
    <t>大学又は高等専門学校</t>
  </si>
  <si>
    <t>鉄鋼業，非鉄金属製造業，金属製品製造業</t>
  </si>
  <si>
    <t>秋田県知事</t>
  </si>
  <si>
    <t>08120</t>
  </si>
  <si>
    <t>専修学校</t>
  </si>
  <si>
    <t>はん用機械器具製造業，生産用機械器具製造業，業務用機械器具製造業，電子部品・デバイス・電子回路製造業，電気機械器具製造業，情報通信機械器具製造業，輸送用機械器具製造業</t>
  </si>
  <si>
    <t>山形県知事</t>
  </si>
  <si>
    <t>08130</t>
  </si>
  <si>
    <t>各種学校</t>
  </si>
  <si>
    <t>ゴム製品製造業，なめし革・同製品・毛皮製造業，その他の製造業</t>
  </si>
  <si>
    <t>福島県知事</t>
  </si>
  <si>
    <t>08140</t>
  </si>
  <si>
    <t>図書館その他これらに類するもの</t>
  </si>
  <si>
    <t>電気業</t>
  </si>
  <si>
    <t>新潟県知事</t>
  </si>
  <si>
    <t>08150</t>
  </si>
  <si>
    <t>博物館その他これらに類するもの</t>
  </si>
  <si>
    <t>ガス業</t>
  </si>
  <si>
    <t>富山県知事</t>
  </si>
  <si>
    <t>08160</t>
  </si>
  <si>
    <t>神社、寺院、教会その他これらに類するもの</t>
  </si>
  <si>
    <t>熱供給業</t>
  </si>
  <si>
    <t>石川県知事</t>
  </si>
  <si>
    <t>08170</t>
  </si>
  <si>
    <t>老人ホーム、身体障害者福祉ホームその他これに類するもの</t>
  </si>
  <si>
    <t>水道業</t>
  </si>
  <si>
    <t>福井県知事</t>
  </si>
  <si>
    <t>08180</t>
  </si>
  <si>
    <t>保育所その他これに類するもの</t>
  </si>
  <si>
    <t>通信業</t>
  </si>
  <si>
    <t>山梨県知事</t>
  </si>
  <si>
    <t>08190</t>
  </si>
  <si>
    <t>助産所</t>
  </si>
  <si>
    <t>放送業，情報サービス業，インターネット附随サービス業</t>
  </si>
  <si>
    <t>長野県知事</t>
  </si>
  <si>
    <t>08210</t>
  </si>
  <si>
    <t>児童福祉施設等（前３項に掲げるものを除く。）</t>
  </si>
  <si>
    <t>映像・音声・文字情報製作業（新聞業及び出版業を除く。）</t>
  </si>
  <si>
    <t>岐阜県知事</t>
  </si>
  <si>
    <t>08220</t>
  </si>
  <si>
    <t>隣保館</t>
  </si>
  <si>
    <t>映像・音声・文字情報制作業（新聞業及び出版業に限る。）</t>
  </si>
  <si>
    <t>静岡県知事</t>
  </si>
  <si>
    <t>08230</t>
  </si>
  <si>
    <t>公衆浴場（個室付浴場業に係る公衆浴場を除く。）</t>
  </si>
  <si>
    <t>鉄道業，道路旅客運送業，道路貨物運送業，水運業，航空，運輸業，倉庫業，運輸に附帯するサービス業</t>
  </si>
  <si>
    <t>愛知県知事</t>
  </si>
  <si>
    <t>08240</t>
  </si>
  <si>
    <t>診療所（患者の収容施設のあるものに限る。）</t>
  </si>
  <si>
    <t>卸売業，小売業</t>
  </si>
  <si>
    <t>三重県知事</t>
  </si>
  <si>
    <t>08250</t>
  </si>
  <si>
    <t>診療所（患者の収容施設のないものに限る。）</t>
  </si>
  <si>
    <t>金融業，保険業</t>
  </si>
  <si>
    <t>滋賀県知事</t>
  </si>
  <si>
    <t>08260</t>
  </si>
  <si>
    <t>病院</t>
  </si>
  <si>
    <t>不動産取引業，不動産賃貸業・管理業（駐車場業を除く。）</t>
  </si>
  <si>
    <t>08270</t>
  </si>
  <si>
    <t>巡査派出所</t>
  </si>
  <si>
    <t>不動産賃貸業・管理業（駐車場業に限る。）</t>
  </si>
  <si>
    <t>大阪府知事</t>
  </si>
  <si>
    <t>08280</t>
  </si>
  <si>
    <t>公衆電話所</t>
  </si>
  <si>
    <t>宿泊業</t>
  </si>
  <si>
    <t>兵庫県知事</t>
  </si>
  <si>
    <t>08290</t>
  </si>
  <si>
    <t>郵便局</t>
  </si>
  <si>
    <t>飲食店，持ち帰り・配達飲食サービス業</t>
  </si>
  <si>
    <t>奈良県知事</t>
  </si>
  <si>
    <t>08300</t>
  </si>
  <si>
    <t>地方公共団体の支庁又は支所</t>
  </si>
  <si>
    <t>学校教育</t>
  </si>
  <si>
    <t>和歌山県知事</t>
  </si>
  <si>
    <t>08310</t>
  </si>
  <si>
    <t>公衆便所、休憩所又は路線バスの停留所の上屋</t>
  </si>
  <si>
    <t>その他の教育及び学習支援業（社会教育に限る。）</t>
  </si>
  <si>
    <t>鳥取県知事</t>
  </si>
  <si>
    <t>08320</t>
  </si>
  <si>
    <t>建築基準法施行令第130条の4第5号に基づき国土交通大臣が指定する施設</t>
  </si>
  <si>
    <t>その他の教育及び学習支援業（学習塾及び教養・技能教授業に限る。）</t>
  </si>
  <si>
    <t>島根県知事</t>
  </si>
  <si>
    <t>08330</t>
  </si>
  <si>
    <t>税務署、警察署、保健所又は消防署その他これらに類するもの</t>
  </si>
  <si>
    <t>その他の教育及び学習支援業（記号35及び記号36に該当するものを除く。）</t>
  </si>
  <si>
    <t>岡山県知事</t>
  </si>
  <si>
    <t>08340</t>
  </si>
  <si>
    <t>工場（自動車修理工場を除く。）</t>
  </si>
  <si>
    <t>医療業，保健衛生</t>
  </si>
  <si>
    <t>広島県知事</t>
  </si>
  <si>
    <t>08350</t>
  </si>
  <si>
    <t>自動車修理工場</t>
  </si>
  <si>
    <t>社会保険・社会福祉・介護事業</t>
  </si>
  <si>
    <t>山口県知事</t>
  </si>
  <si>
    <t>08360</t>
  </si>
  <si>
    <t>危険物の貯蔵又は処理に供するもの</t>
  </si>
  <si>
    <t>郵便業（信書便事業を含む。），郵便局</t>
  </si>
  <si>
    <t>徳島県知事</t>
  </si>
  <si>
    <t>08370</t>
  </si>
  <si>
    <t>ボーリング場、スケート場、水泳場、スキー場、ゴルフ練習場又はバッティング練習場</t>
  </si>
  <si>
    <t>学術・開発研究機関，政治・経済・文化団体</t>
  </si>
  <si>
    <t>香川県知事</t>
  </si>
  <si>
    <t>08380</t>
  </si>
  <si>
    <t>体育館又はスポーツの練習場（前項に掲げるものを除く。）</t>
  </si>
  <si>
    <t>その他の生活関連サービス業（旅行業に限る。）</t>
  </si>
  <si>
    <t>愛媛県知事</t>
  </si>
  <si>
    <t>08390</t>
  </si>
  <si>
    <t>マージャン屋、ぱちんこ屋、射的場、勝馬投票券発売所、場外車券売り場その他これらに類するもの又はカラオケボックスその他これらに類するもの</t>
  </si>
  <si>
    <t>娯楽業</t>
  </si>
  <si>
    <t>高知県知事</t>
  </si>
  <si>
    <t>08400</t>
  </si>
  <si>
    <t>ホテル又は旅館</t>
  </si>
  <si>
    <t>宗教</t>
  </si>
  <si>
    <t>福岡県知事</t>
  </si>
  <si>
    <t>08410</t>
  </si>
  <si>
    <t>自動車教習所</t>
  </si>
  <si>
    <t>物品賃貸業，専門サービス業，広告業，技術サービス業，洗濯・理容・美容・浴場業，その他の生活関連サービス業（旅行業を除く。），協同組合，サービス業（他に分類されないもの）（記号41及び記号44に該当するものを除く。）</t>
  </si>
  <si>
    <t>佐賀県知事</t>
  </si>
  <si>
    <t>08420</t>
  </si>
  <si>
    <t>畜舎</t>
  </si>
  <si>
    <t>国家公務，地方公務</t>
  </si>
  <si>
    <t>長崎県知事</t>
  </si>
  <si>
    <t>08430</t>
  </si>
  <si>
    <t>堆肥舎又は水産物の増殖場若しくは養殖場</t>
  </si>
  <si>
    <t>他に分類されないもの</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</si>
  <si>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</si>
  <si>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</si>
  <si>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</si>
  <si>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</si>
  <si>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</si>
  <si>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</si>
  <si>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</si>
  <si>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</si>
  <si>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</si>
  <si>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</si>
  <si>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</si>
  <si>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</si>
  <si>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</si>
  <si>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</si>
  <si>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</si>
  <si>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</si>
  <si>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</si>
  <si>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</si>
  <si>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</si>
  <si>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</si>
  <si>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</si>
  <si>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</si>
  <si>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</si>
  <si>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</si>
  <si>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</si>
  <si>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</si>
  <si>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</si>
  <si>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</si>
  <si>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</si>
  <si>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</si>
  <si>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</si>
  <si>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</si>
  <si>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</si>
  <si>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</si>
  <si>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</si>
  <si>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</si>
  <si>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</si>
  <si>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</si>
  <si>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</si>
  <si>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</si>
  <si>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</si>
  <si>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</si>
  <si>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</si>
  <si>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</si>
  <si>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</si>
  <si>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</si>
  <si>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</si>
  <si>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</si>
  <si>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</si>
  <si>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</si>
  <si>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</si>
  <si>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</si>
  <si>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</si>
  <si>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トップ</t>
  </si>
  <si>
    <t>中学校、高等学校又は中等教育学校</t>
  </si>
  <si>
    <t>図書館その他これに類するもの</t>
  </si>
  <si>
    <t>博物館その他これに類するもの</t>
  </si>
  <si>
    <t>老人ホーム、身体障害者福祉ホームその他これらに類するもの</t>
  </si>
  <si>
    <t>児童福祉施設等</t>
  </si>
  <si>
    <t>郵便法の規定により行う郵便の業務の用に供する施設</t>
  </si>
  <si>
    <t>公衆便所、休憩所又は路線バスの停留所の上家</t>
  </si>
  <si>
    <t>建築基準法施行令第130条の4第5号に基づき建設大臣が指定する施設</t>
  </si>
  <si>
    <t>体育館又はスポーツの練習場</t>
  </si>
  <si>
    <t>マージャン屋、ぱちんこ屋、射的場、勝馬投票券発売所、場外車券売場その他これらに類するもの又はカラオケボックスその他これらに類するもの</t>
  </si>
  <si>
    <t>百貨店、マーケットその他の物品販売業を営む店舗</t>
  </si>
  <si>
    <t>飲食店</t>
  </si>
  <si>
    <t>理髪店、美容院、クリーニング取次店、質屋、貸衣装屋、貸本屋その他これらに類するサービス業を営む店舗、洋服店、畳屋、建具屋、自転車店等</t>
  </si>
  <si>
    <t>銀行の支店、損害保険代理店、宅地建物取引業を営む店舗そのたこれらに類するサービス業を営む店舗</t>
  </si>
  <si>
    <t>物品販売業を営む店舗以外の店舗</t>
  </si>
  <si>
    <t>自転車駐車場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</si>
  <si>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</si>
  <si>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t>
  </si>
  <si>
    <t xml:space="preserve">    )</t>
  </si>
  <si>
    <t>第1種低層住居専用</t>
  </si>
  <si>
    <t>確</t>
  </si>
  <si>
    <t>建</t>
  </si>
  <si>
    <t>神奈川県</t>
  </si>
  <si>
    <t>設計図書一式</t>
  </si>
  <si>
    <t>般-</t>
  </si>
  <si>
    <t>■</t>
  </si>
  <si>
    <t>道路境界1ｍ）</t>
  </si>
  <si>
    <t>第2種低層住居専用</t>
  </si>
  <si>
    <t>開発許可：</t>
  </si>
  <si>
    <t>基礎配筋完了時</t>
  </si>
  <si>
    <t>（平成</t>
  </si>
  <si>
    <t>●</t>
  </si>
  <si>
    <t>変</t>
  </si>
  <si>
    <t>昇</t>
  </si>
  <si>
    <t>号</t>
  </si>
  <si>
    <t>１級</t>
  </si>
  <si>
    <t>東京都</t>
  </si>
  <si>
    <t>設計図書一式（構造設計図書を除く）</t>
  </si>
  <si>
    <t>特-</t>
  </si>
  <si>
    <t>敷地境界1ｍ）</t>
  </si>
  <si>
    <t>第1種中高層住居専用</t>
  </si>
  <si>
    <t>開発変更許可：</t>
  </si>
  <si>
    <t>全軸組緊結完了時</t>
  </si>
  <si>
    <t>（昭和</t>
  </si>
  <si>
    <t>工</t>
  </si>
  <si>
    <t>２級</t>
  </si>
  <si>
    <t>設計図書一式（構造計算書を除く）</t>
  </si>
  <si>
    <t>道路側を除く敷地境界 1ｍ）</t>
  </si>
  <si>
    <t>第2種中高層住居専用</t>
  </si>
  <si>
    <t>開発検査済：　</t>
  </si>
  <si>
    <t>小屋組完了時</t>
  </si>
  <si>
    <t>構造設計図書一式</t>
  </si>
  <si>
    <t>第1種住居</t>
  </si>
  <si>
    <t>開発完了公告：</t>
  </si>
  <si>
    <t>屋根工事</t>
  </si>
  <si>
    <t>構造計算書一式</t>
  </si>
  <si>
    <t>第2種住居</t>
  </si>
  <si>
    <t>宅地造成に関する工事許可：</t>
  </si>
  <si>
    <t>１階を含む鉄骨建方工事</t>
  </si>
  <si>
    <t>準住居</t>
  </si>
  <si>
    <t>変更許可：</t>
  </si>
  <si>
    <t>２階の床及びこれを支持するはりに鉄筋を配置する工事の工程</t>
  </si>
  <si>
    <t>近隣商業</t>
  </si>
  <si>
    <t>宅造検査済：　</t>
  </si>
  <si>
    <t>屋根の小屋組工事及び構造耐力上主要な軸組の工事</t>
  </si>
  <si>
    <t>商業</t>
  </si>
  <si>
    <t>位置指定道路：</t>
  </si>
  <si>
    <t>屋根の小屋組工事及び構造耐力上主要な耐力壁の工事</t>
  </si>
  <si>
    <t>準工業</t>
  </si>
  <si>
    <t>公告：</t>
  </si>
  <si>
    <t>屋根版の配筋工事</t>
  </si>
  <si>
    <t>工業</t>
  </si>
  <si>
    <t>急傾斜地崩壊危険区域の許可：</t>
  </si>
  <si>
    <t>基礎の配筋工事</t>
  </si>
  <si>
    <t>工業専用</t>
  </si>
  <si>
    <t>法第43条ただし書き許可：</t>
  </si>
  <si>
    <t>鉄骨部の部分において初めて工事を施工する階の建方工事</t>
  </si>
  <si>
    <t>法第53条の2第1項第3号の許可</t>
  </si>
  <si>
    <t>狭あい道路協議済：</t>
  </si>
  <si>
    <t>地区計画：</t>
  </si>
  <si>
    <t>風致地区：</t>
  </si>
  <si>
    <t>都市計画法第43条許可：</t>
  </si>
  <si>
    <t>都市計画法第53条許可：</t>
  </si>
  <si>
    <t>災害危険区域：</t>
  </si>
  <si>
    <t>川崎市条例第6条第2項ただし書き許可：</t>
  </si>
  <si>
    <t>各申請書のセルの色について</t>
  </si>
  <si>
    <t xml:space="preserve"> →黄色のセルは直接入力してください。</t>
  </si>
  <si>
    <t>　</t>
  </si>
  <si>
    <t xml:space="preserve"> →緑色のセルは選択肢から選んでください。</t>
  </si>
  <si>
    <t xml:space="preserve"> →水色のセルはNICEシステムで入力した内容が初期表示されています。</t>
  </si>
  <si>
    <t>第四十号様式（第八条関係）（Ａ４）</t>
  </si>
  <si>
    <t>建築基準法第15条第1項の規定による</t>
  </si>
  <si>
    <t>建 築 工 事 届</t>
  </si>
  <si>
    <t>（第一面）</t>
  </si>
  <si>
    <t>年</t>
  </si>
  <si>
    <t>月</t>
  </si>
  <si>
    <t>日</t>
  </si>
  <si>
    <t>知事　様</t>
  </si>
  <si>
    <t>工事施工者（設計者又は代理者）</t>
  </si>
  <si>
    <t>営業所名（建築士事務所名）</t>
  </si>
  <si>
    <t>工事監理者</t>
  </si>
  <si>
    <t>建築確認</t>
  </si>
  <si>
    <t xml:space="preserve"> </t>
  </si>
  <si>
    <t>第</t>
  </si>
  <si>
    <t>確認済証交付年月日</t>
  </si>
  <si>
    <t>除却工事施工者</t>
  </si>
  <si>
    <t>※受付経由機関記載欄</t>
  </si>
  <si>
    <t>（第二面）</t>
  </si>
  <si>
    <t>【1.着工及び工事完了の予定期日】</t>
  </si>
  <si>
    <t>【イ.着工予定期日】</t>
  </si>
  <si>
    <t>【ロ.工事完了予定期日】</t>
  </si>
  <si>
    <t>【2.建築主】</t>
  </si>
  <si>
    <t>【イ.建築主の種別】</t>
  </si>
  <si>
    <t>(1) 国</t>
  </si>
  <si>
    <t>(2) 都道府県</t>
  </si>
  <si>
    <t>(3) 市区町村</t>
  </si>
  <si>
    <t>(4) 会社</t>
  </si>
  <si>
    <t>(5) 会社でない団体</t>
  </si>
  <si>
    <t>(6) 個人</t>
  </si>
  <si>
    <t>【ロ.資本の額又は出資の総額】</t>
  </si>
  <si>
    <t>(1)1,000万円以下</t>
  </si>
  <si>
    <t>(2)1,000万円超～3,000万円以下</t>
  </si>
  <si>
    <t>(3)3,000万円超～1億円以下</t>
  </si>
  <si>
    <t>(4)1億円超～10億円以下</t>
  </si>
  <si>
    <t>(5)10億円超</t>
  </si>
  <si>
    <t>【3.敷地の位置】</t>
  </si>
  <si>
    <t>【イ.地名地番】</t>
  </si>
  <si>
    <t>【ロ.都市計画】</t>
  </si>
  <si>
    <t>(1) 市街化区域</t>
  </si>
  <si>
    <t>(2) 市街化調整区域</t>
  </si>
  <si>
    <t>(3) 区域区分非設定都市計画区域</t>
  </si>
  <si>
    <t>(4) 準都市計画区域</t>
  </si>
  <si>
    <t>(5) 都市計画区域及び準都市計画区域外</t>
  </si>
  <si>
    <t>【4.工事種別】</t>
  </si>
  <si>
    <t>(1) 新築</t>
  </si>
  <si>
    <t>(2) 増築</t>
  </si>
  <si>
    <t>(3) 改築</t>
  </si>
  <si>
    <t>(4) 移転</t>
  </si>
  <si>
    <t>【5.主要用途】</t>
  </si>
  <si>
    <t>(1) 居住専用建築物</t>
  </si>
  <si>
    <t>（</t>
  </si>
  <si>
    <t>）</t>
  </si>
  <si>
    <t>(2) 居住産業併用建築物</t>
  </si>
  <si>
    <t>(3) 産業専用建築物</t>
  </si>
  <si>
    <t>【6.一の建築物ごとの内容】</t>
  </si>
  <si>
    <t>【イ.番号】</t>
  </si>
  <si>
    <t>)</t>
  </si>
  <si>
    <t>【ロ.用途】</t>
  </si>
  <si>
    <t>(1)</t>
  </si>
  <si>
    <t>(2)</t>
  </si>
  <si>
    <t>物品販売業を営</t>
  </si>
  <si>
    <t>む店舗等</t>
  </si>
  <si>
    <t>(3)</t>
  </si>
  <si>
    <t>(4)</t>
  </si>
  <si>
    <t>(5)</t>
  </si>
  <si>
    <t>(6)</t>
  </si>
  <si>
    <t>(9)</t>
  </si>
  <si>
    <t>多用途</t>
  </si>
  <si>
    <t>【ハ.工事部分の構造】</t>
  </si>
  <si>
    <t>鉄骨鉄筋コンク</t>
  </si>
  <si>
    <t>リート造</t>
  </si>
  <si>
    <t>鉄筋コンクリー</t>
  </si>
  <si>
    <t>ト造</t>
  </si>
  <si>
    <t>コンクリートブ</t>
  </si>
  <si>
    <t>ロック造</t>
  </si>
  <si>
    <t>【ニ．工事の予定期間】</t>
  </si>
  <si>
    <t>月間)</t>
  </si>
  <si>
    <t>【ホ.工事部分の</t>
  </si>
  <si>
    <t>　床面積の合計】</t>
  </si>
  <si>
    <t>【ヘ.建築工事費予定額】</t>
  </si>
  <si>
    <t>万円)</t>
  </si>
  <si>
    <t>【ト.新築工事の場合における地上の階数】</t>
  </si>
  <si>
    <t>【チ.新築工事の場合における地下の階数】</t>
  </si>
  <si>
    <t>【７．新築工事の場合における敷地面積】</t>
  </si>
  <si>
    <t>㎡</t>
  </si>
  <si>
    <t>（第三面）</t>
  </si>
  <si>
    <t>【1.住宅部分の概要】</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</si>
  <si>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</si>
  <si>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</si>
  <si>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</si>
  <si>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</si>
  <si>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</si>
  <si>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</si>
  <si>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</si>
  <si>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</si>
  <si>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</si>
  <si>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</si>
  <si>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(1) 在来工法</t>
  </si>
  <si>
    <t>(2) プレハブ工法</t>
  </si>
  <si>
    <t>(3) 枠組壁工法</t>
  </si>
  <si>
    <t>【ホ.住宅の種類】</t>
  </si>
  <si>
    <t>(1) 専用住宅</t>
  </si>
  <si>
    <t>(2) 併用住宅</t>
  </si>
  <si>
    <t>(3) その他の住宅</t>
  </si>
  <si>
    <t>【ヘ.住宅の建て方】</t>
  </si>
  <si>
    <t>(1)一戸建住宅</t>
  </si>
  <si>
    <t>(2)長屋建住宅</t>
  </si>
  <si>
    <t>(3)共同住宅</t>
  </si>
  <si>
    <t>【ト.利用関係】</t>
  </si>
  <si>
    <t>(1)持家</t>
  </si>
  <si>
    <t>(2)貸家</t>
  </si>
  <si>
    <t>(3)給与住宅</t>
  </si>
  <si>
    <t>(4)分譲住宅</t>
  </si>
  <si>
    <t>【チ.住宅の戸数】</t>
  </si>
  <si>
    <t xml:space="preserve">)( </t>
  </si>
  <si>
    <t>【リ.工事部分の</t>
  </si>
  <si>
    <t xml:space="preserve"> 床面積の合計】</t>
  </si>
  <si>
    <t>（第四面）</t>
  </si>
  <si>
    <t>【1.主要用途】</t>
  </si>
  <si>
    <t>【2.除却原因】</t>
  </si>
  <si>
    <t>(1) 老朽して危険があるため</t>
  </si>
  <si>
    <t>(2) その他</t>
  </si>
  <si>
    <t>【3.構造】</t>
  </si>
  <si>
    <t>(1) 木造</t>
  </si>
  <si>
    <t>【4.建築物の数】</t>
  </si>
  <si>
    <t>【5.住宅の戸数】</t>
  </si>
  <si>
    <t>戸</t>
  </si>
  <si>
    <t>【6.住宅の利用関係】</t>
  </si>
  <si>
    <t>(1) 持家</t>
  </si>
  <si>
    <t>(2) 貸家</t>
  </si>
  <si>
    <t>(3) 給与住宅</t>
  </si>
  <si>
    <t>【7.建築物の床面積の合計】</t>
  </si>
  <si>
    <t>【8.建築物の評価額】</t>
  </si>
  <si>
    <t>千円</t>
  </si>
  <si>
    <t>建築計画概要書（第三面）</t>
  </si>
  <si>
    <t>付近見取り図</t>
  </si>
  <si>
    <t>配置図</t>
  </si>
  <si>
    <t>【代理者】</t>
  </si>
  <si>
    <t>【氏名】</t>
  </si>
  <si>
    <t>一級建築士</t>
  </si>
  <si>
    <t>二級建築士</t>
  </si>
  <si>
    <t>木造建築士</t>
  </si>
  <si>
    <t>【事務所名】</t>
  </si>
  <si>
    <t>【所在地】</t>
  </si>
  <si>
    <t>【電話番号】</t>
  </si>
  <si>
    <t>　私は､上記の者を代理人と定め､以下の建築物についての､建築に関する法令の規定によ</t>
  </si>
  <si>
    <t>る申請手続き等を委任します。</t>
  </si>
  <si>
    <t>委任事項</t>
  </si>
  <si>
    <t>確認申請手続</t>
  </si>
  <si>
    <t>確認済証受取</t>
  </si>
  <si>
    <t>建築工事届提出</t>
  </si>
  <si>
    <t>中間検査申請手続</t>
  </si>
  <si>
    <t>中間検査合格証受取</t>
  </si>
  <si>
    <t>完了検査申請手続</t>
  </si>
  <si>
    <t>検査済証受取</t>
  </si>
  <si>
    <t>住宅金融支援機構設計審査手続</t>
  </si>
  <si>
    <t>住宅金融支援機構現場検査手続</t>
  </si>
  <si>
    <t>構造計算適合性判定申請手続</t>
  </si>
  <si>
    <t>適合判定通知書受取</t>
  </si>
  <si>
    <t>現場検査立会</t>
  </si>
  <si>
    <t>取止・取下届提出</t>
  </si>
  <si>
    <t>【委任者】</t>
  </si>
  <si>
    <t>【住所】</t>
  </si>
  <si>
    <t>追加説明書（確認申請）</t>
  </si>
  <si>
    <t>第R</t>
  </si>
  <si>
    <t>確不整合IPEC</t>
  </si>
  <si>
    <t>株式会社　I-PEC　様</t>
  </si>
  <si>
    <t>建築基準法第18条の3及び確認審査等に関する指針（平成19年第835号）第1第5項第三号ロ</t>
  </si>
  <si>
    <t>による追加説明書を下記のとおり提出します。</t>
  </si>
  <si>
    <t>確認申請
年月日</t>
  </si>
  <si>
    <t>設計者</t>
  </si>
  <si>
    <t>確認申請
受付番号</t>
  </si>
  <si>
    <t>確申建築IPEC</t>
  </si>
  <si>
    <t>通知日</t>
  </si>
  <si>
    <t>工事施工者</t>
  </si>
  <si>
    <t>追加説明書を作成した者の氏名</t>
  </si>
  <si>
    <t>建築場所</t>
  </si>
  <si>
    <t>指摘事項</t>
  </si>
  <si>
    <t>報告内容</t>
  </si>
  <si>
    <t>※別添がある場合は、その旨を本書に記載する。</t>
  </si>
  <si>
    <t>追加説明書（中間検査）</t>
  </si>
  <si>
    <t>中間検査
申請年月日</t>
  </si>
  <si>
    <t>中間検査申請受付番号</t>
  </si>
  <si>
    <t>確中建築IPEC</t>
  </si>
  <si>
    <t>追加説明書（完了検査）</t>
  </si>
  <si>
    <t>建築基準法第18条の3及び確認審査等に関する指針（平成19年第835号）第３第４項第三号</t>
  </si>
  <si>
    <t>完了検査
申請年月日</t>
  </si>
  <si>
    <t>完了検査申請受付番号</t>
  </si>
  <si>
    <t>確完建築IPEC</t>
  </si>
  <si>
    <t>様式－ＩＰＥＣ－大－０４</t>
  </si>
  <si>
    <t>（大阪府全域）</t>
  </si>
  <si>
    <t>　　　　　　　　　　　　　工事監理者　　　　　届出書</t>
  </si>
  <si>
    <t>　選任</t>
  </si>
  <si>
    <t>　変更</t>
  </si>
  <si>
    <t>届出書</t>
  </si>
  <si>
    <r>
      <t>特庁以外の大阪府</t>
    </r>
    <r>
      <rPr>
        <sz val="10.5"/>
        <rFont val="ＭＳ Ｐ明朝"/>
        <family val="1"/>
        <charset val="128"/>
      </rPr>
      <t>　　　</t>
    </r>
    <rPh sb="0" eb="1">
      <t>トク</t>
    </rPh>
    <rPh sb="1" eb="2">
      <t>チョウ</t>
    </rPh>
    <rPh sb="2" eb="4">
      <t>イガイ</t>
    </rPh>
    <rPh sb="5" eb="8">
      <t>オオサカフ</t>
    </rPh>
    <phoneticPr fontId="7"/>
  </si>
  <si>
    <t>大阪府建築基準法施行条例　第７０条第２項</t>
  </si>
  <si>
    <t xml:space="preserve">大阪市　　　　　　　　　　　　　　 </t>
  </si>
  <si>
    <t>大阪市建築基準法施行条例　第３条第１項</t>
  </si>
  <si>
    <t>池田市</t>
  </si>
  <si>
    <t>池田市建築基準法施行条例　第２条第２項</t>
  </si>
  <si>
    <t>枚方市　</t>
  </si>
  <si>
    <t>枚方市建築基準法関係事務条例　第３条</t>
  </si>
  <si>
    <t xml:space="preserve">吹田市　　　　　　　　　　　　　　 </t>
  </si>
  <si>
    <t>吹田市建築基準法施行条例　第３条第２項</t>
  </si>
  <si>
    <r>
      <t>　　</t>
    </r>
    <r>
      <rPr>
        <b/>
        <sz val="14"/>
        <rFont val="ＭＳ Ｐ明朝"/>
        <family val="1"/>
        <charset val="128"/>
      </rPr>
      <t>株式会社　Ｉ-ＰＥＣ</t>
    </r>
    <r>
      <rPr>
        <b/>
        <sz val="10.5"/>
        <rFont val="ＭＳ Ｐ明朝"/>
        <family val="1"/>
        <charset val="128"/>
      </rPr>
      <t>　　　　　様</t>
    </r>
    <rPh sb="2" eb="6">
      <t>カブシキガイシャ</t>
    </rPh>
    <rPh sb="17" eb="18">
      <t>サマ</t>
    </rPh>
    <phoneticPr fontId="7"/>
  </si>
  <si>
    <t>守口市　　　　　　　　　　　　　　</t>
  </si>
  <si>
    <t>守口市建築基準法施行条例　第４条第２項</t>
  </si>
  <si>
    <t>茨木市　　　　　　　　　　　　　　</t>
  </si>
  <si>
    <t>茨木市建築基準法施行条例　第２条第２項</t>
  </si>
  <si>
    <t>届出者　</t>
  </si>
  <si>
    <t xml:space="preserve">八尾市　　　　　　　　　　　　　　 </t>
  </si>
  <si>
    <t>八尾市建築基準法施行条例　第３条第２項</t>
  </si>
  <si>
    <t>住所　</t>
  </si>
  <si>
    <t>（法人にあっては、主たる事務所の所在地）</t>
  </si>
  <si>
    <t>寝屋川市　　　　　　　　　　　　　</t>
  </si>
  <si>
    <t>寝屋川市建築基準法施行条例　第３条第１項</t>
  </si>
  <si>
    <t>〒　</t>
  </si>
  <si>
    <t xml:space="preserve">門真市　　　　　　　　　　　　　　 </t>
  </si>
  <si>
    <t>門真市建築基準法施行条例　第３条第２項</t>
  </si>
  <si>
    <t>東大阪市　　　　　　　　　　　　　</t>
  </si>
  <si>
    <t>東大阪市建築基準法施行条例　第３条第２項</t>
  </si>
  <si>
    <t>（法人にあってはその名称及び代表者の氏名）</t>
  </si>
  <si>
    <t>箕面市</t>
  </si>
  <si>
    <t>箕面市建築基準法施行条例　第３条第２項</t>
  </si>
  <si>
    <t>堺市</t>
  </si>
  <si>
    <t>堺市建築基準法施行条例　第３条第２項</t>
  </si>
  <si>
    <t>電話</t>
  </si>
  <si>
    <t>和泉市</t>
  </si>
  <si>
    <t>和泉市建築基準法施行条例　第６７条第２項</t>
  </si>
  <si>
    <t>豊中市　　　　　　　　　　　　　　</t>
  </si>
  <si>
    <t>豊中市建築基準法施行条例　第６１条第２項</t>
  </si>
  <si>
    <t>の規定により、下記の建築物について</t>
  </si>
  <si>
    <t>高槻市　　　　　　　　　　　　　　</t>
  </si>
  <si>
    <t>高槻市建築基準法施行条例　第３６条</t>
  </si>
  <si>
    <t>羽曳野市</t>
  </si>
  <si>
    <t>羽曳野市建築基準法施行条例　第３条</t>
  </si>
  <si>
    <t>を工事監理者として(選定・変更)したので届け出ます。</t>
  </si>
  <si>
    <t>　　また､私は、建築士法第２４条の８に規程する工事監理契約に係る書面の交付を受け､建築工事監理業務を委託したことに</t>
  </si>
  <si>
    <t>　相違ない旨を申し添えます｡</t>
  </si>
  <si>
    <t>工　事　監　理　者</t>
  </si>
  <si>
    <t>〒</t>
  </si>
  <si>
    <t>住　　　　　所</t>
  </si>
  <si>
    <t>氏　　　　　名</t>
  </si>
  <si>
    <t>資　　　　　格</t>
  </si>
  <si>
    <t>　（</t>
  </si>
  <si>
    <t>）　</t>
  </si>
  <si>
    <t>建築士</t>
  </si>
  <si>
    <t xml:space="preserve">  (</t>
  </si>
  <si>
    <t>）登録第</t>
  </si>
  <si>
    <t>事　務　所　名</t>
  </si>
  <si>
    <t>建築事務所（</t>
  </si>
  <si>
    <t>）知事登録第</t>
  </si>
  <si>
    <t>　　　建築士法に基づき､下記の建築物の工事監理を引受け、建築確認申請（計画変更の場合を含む）に係る図面に則して工事</t>
  </si>
  <si>
    <t>　　監理することを届け出ます。</t>
  </si>
  <si>
    <t>変更前の工事監理者</t>
  </si>
  <si>
    <t>印</t>
  </si>
  <si>
    <t>　（大臣・</t>
  </si>
  <si>
    <t>知事）登録第</t>
  </si>
  <si>
    <t>工事監理者を変更した</t>
  </si>
  <si>
    <t>　　　　　場合のみ記入</t>
  </si>
  <si>
    <t>建　築　物　の　名　称</t>
  </si>
  <si>
    <t>敷　地　の　位　置</t>
  </si>
  <si>
    <t>（　地　名　地　番　）</t>
  </si>
  <si>
    <t>確認済証番号　及び</t>
  </si>
  <si>
    <t>確認建築IPEC</t>
  </si>
  <si>
    <t>確更建築IPEC</t>
  </si>
  <si>
    <t>交　付　年　月　日</t>
  </si>
  <si>
    <t>確認一工IPEC</t>
  </si>
  <si>
    <t>確更一工IPEC</t>
  </si>
  <si>
    <t>確認昇降IPEC</t>
  </si>
  <si>
    <t>工　事　の　計　画</t>
  </si>
  <si>
    <t>工事着手日</t>
  </si>
  <si>
    <t>確更昇降IPEC</t>
  </si>
  <si>
    <t>　特定工程（1）</t>
  </si>
  <si>
    <t>年月日を記載した工程</t>
  </si>
  <si>
    <t>　特定工程（2）</t>
  </si>
  <si>
    <t>表に変えてもよい。</t>
  </si>
  <si>
    <t>工事完了日</t>
  </si>
  <si>
    <t>備　　　　考</t>
  </si>
  <si>
    <t>工事監理者が複数の場合は、その者の</t>
  </si>
  <si>
    <t>住所、氏名及び電話番号等を記入</t>
  </si>
  <si>
    <t>※　受　付　欄</t>
  </si>
  <si>
    <t>※　決　済　欄</t>
  </si>
  <si>
    <t>※　番　号　欄</t>
  </si>
  <si>
    <t>令和</t>
  </si>
  <si>
    <t>注</t>
  </si>
  <si>
    <t>1　建築主、設置者又は建築主が届け出てください。</t>
  </si>
  <si>
    <t>2　建築主､工事監理者に変更がある場合には､速やかに工事監理者の変更の届出をしてください｡</t>
  </si>
  <si>
    <t>3　建築主､工事監理者の変更の手続きがない場合は､本届出の建築主､工事監理者が工事監理の責任者とみなされます｡</t>
  </si>
  <si>
    <t>4　※印の欄については、記入しないでください。</t>
  </si>
  <si>
    <t>様式－ＩＰＥＣ－０７</t>
  </si>
  <si>
    <t>軽微な変更報告書</t>
  </si>
  <si>
    <t>下記事項について、建築基準法第６条の２に基づく建築基準法施行規則第３条の２に規定する</t>
  </si>
  <si>
    <t>　　</t>
  </si>
  <si>
    <t>軽微な変更をいたしますので、お届けします。</t>
  </si>
  <si>
    <t>株式会社　Ｉ－ＰＥＣ</t>
  </si>
  <si>
    <t>様</t>
  </si>
  <si>
    <t>建築主（設置者・築造主）</t>
  </si>
  <si>
    <t>住所（所在地）</t>
  </si>
  <si>
    <t>記</t>
  </si>
  <si>
    <t>1．</t>
  </si>
  <si>
    <t>建築場所又は設置場所又は築造場所の地名地番</t>
  </si>
  <si>
    <t>2．</t>
  </si>
  <si>
    <t>3．</t>
  </si>
  <si>
    <t>第　R</t>
  </si>
  <si>
    <t>4．</t>
  </si>
  <si>
    <t>5．</t>
  </si>
  <si>
    <t>添付図書</t>
  </si>
  <si>
    <t>１</t>
  </si>
  <si>
    <t>図面の必要な場合は、変更箇所の分かる図書を添付してください。</t>
  </si>
  <si>
    <t>２</t>
  </si>
  <si>
    <t>この届は、建築主、設置者又は築造主でなければ出来ません。</t>
  </si>
  <si>
    <t>３</t>
  </si>
  <si>
    <t>届出には軽微な変更をされる副本を提出して下さい。</t>
  </si>
  <si>
    <t>様式-IPEC－12</t>
  </si>
  <si>
    <t>確認申請誤記訂正届</t>
  </si>
  <si>
    <t>下記の申請に記入事項の誤りがありましたので、訂正願います。</t>
  </si>
  <si>
    <t>株式会社　I-PEC</t>
  </si>
  <si>
    <t>届出者氏名</t>
  </si>
  <si>
    <t>届出者住所</t>
  </si>
  <si>
    <t>1.申請者</t>
  </si>
  <si>
    <t>住所（法人にあっては、主たる事務所の所在地）</t>
  </si>
  <si>
    <t>氏名（法人にあっては、名称及び代表者名）</t>
  </si>
  <si>
    <t>2.建築場所</t>
  </si>
  <si>
    <t>　設置場所</t>
  </si>
  <si>
    <t>の地名地番</t>
  </si>
  <si>
    <t>　築造場所</t>
  </si>
  <si>
    <t>3.確認済証番号</t>
  </si>
  <si>
    <t>　交付年月日</t>
  </si>
  <si>
    <t>4.訂正内容</t>
  </si>
  <si>
    <t>誤</t>
  </si>
  <si>
    <t>正</t>
  </si>
  <si>
    <t>5.訂正理由</t>
  </si>
  <si>
    <t>この届は、建築主、設置者又は築造主でなければできません。</t>
  </si>
  <si>
    <t>届出には誤記訂正をされる確認済証と副本を提出してください。</t>
  </si>
  <si>
    <t>概要書の記載事項に変更が生じた場合は誤記訂正済の建築計画概要書（法規則第三号様式）</t>
  </si>
  <si>
    <t>を改めて提出してください。</t>
  </si>
  <si>
    <t>建 築 主 等 変 更 届</t>
  </si>
  <si>
    <t>（京都市第１３号様式の２)２４条関係</t>
  </si>
  <si>
    <t>建築主等の変更が有りましたので、届け出ます。</t>
  </si>
  <si>
    <t>　記</t>
  </si>
  <si>
    <t>１．建築場所又は設置場所又は築造場所の地名地番</t>
  </si>
  <si>
    <t>２．確認済証交付年月日</t>
  </si>
  <si>
    <t>３．確認済証番号</t>
  </si>
  <si>
    <t>変更の種別</t>
  </si>
  <si>
    <t>設置者</t>
  </si>
  <si>
    <t>築造主</t>
  </si>
  <si>
    <t>建築主、　設置者
又は築造主</t>
  </si>
  <si>
    <t>変更前</t>
  </si>
  <si>
    <t>変更後</t>
  </si>
  <si>
    <t>（　　　　）　　　-</t>
  </si>
  <si>
    <t>代　　理　　者</t>
  </si>
  <si>
    <t>住所又は所在地</t>
  </si>
  <si>
    <t>資格　　（</t>
  </si>
  <si>
    <t>）級建築士</t>
  </si>
  <si>
    <t>建築士事務所名</t>
  </si>
  <si>
    <t>登録　　（</t>
  </si>
  <si>
    <t>）級建築士事務所</t>
  </si>
  <si>
    <t>）知事登録</t>
  </si>
  <si>
    <t>（　　　　　）　　　　　-</t>
  </si>
  <si>
    <t>監理者</t>
  </si>
  <si>
    <t>工事と照合する設計図書</t>
  </si>
  <si>
    <t>国土交通大臣許可</t>
  </si>
  <si>
    <t>知事許可</t>
  </si>
  <si>
    <t>）第</t>
  </si>
  <si>
    <t>備　　　　　　考</t>
  </si>
  <si>
    <t>注 1　この届は、建築主（設置者又は築造主）でなければできません。</t>
  </si>
  <si>
    <t>2　該当する□には、レ印を記入してください。</t>
  </si>
  <si>
    <t xml:space="preserve">     3  届出には変更される確認済証と副本を提出して下さい。</t>
  </si>
  <si>
    <t>4　代理者に変更が有る場合は新たに委任状を添付してください。</t>
  </si>
  <si>
    <t>（別紙）</t>
  </si>
  <si>
    <t>様式－ＩＰＥＣ－０９</t>
  </si>
  <si>
    <t>選　　定　　届</t>
  </si>
  <si>
    <t>(京都市１３号様式）２４条関係</t>
  </si>
  <si>
    <t>(府１５号様式）5条関係</t>
  </si>
  <si>
    <t>工事施工者、工事監理者を定めましたので、届け出ます。</t>
  </si>
  <si>
    <t>国土交通大臣</t>
  </si>
  <si>
    <t>住　所</t>
  </si>
  <si>
    <t>-</t>
  </si>
  <si>
    <t>氏　名</t>
  </si>
  <si>
    <t>）級建築士　登録第</t>
  </si>
  <si>
    <t>登録</t>
  </si>
  <si>
    <t>（　　　　　）　　　　-</t>
  </si>
  <si>
    <t>）知事登録　第</t>
  </si>
  <si>
    <t>工事と照合する図書</t>
  </si>
  <si>
    <t>－</t>
  </si>
  <si>
    <t>備　考</t>
  </si>
  <si>
    <t>1.この届は、建築主（設置者又は築造主）でなければできません。</t>
  </si>
  <si>
    <t>2.該当する□には、レ印を記入してください。</t>
  </si>
  <si>
    <t>3.工事監理者の欄及び工事施工者の欄については、該当する欄に記入してください。</t>
  </si>
  <si>
    <t>様式－Ｂ－０１，０２，０３</t>
  </si>
  <si>
    <t>(京都市第４号様式)６条関係</t>
  </si>
  <si>
    <t>確認･検査　申請取り下げ届</t>
  </si>
  <si>
    <t>下記の申請について、都合により申請を取り下げたいので、　　　　　　　　　　　　　　　　　　　　　　　　　　　　　　　　　　　　　　　　　　　　</t>
  </si>
  <si>
    <t>株式会社　Ｉ－ＰＥＣ　確認検査業務規程第２３条、第３０条、第３６条の規定により届け出ます。</t>
  </si>
  <si>
    <t>１．</t>
  </si>
  <si>
    <t>２．</t>
  </si>
  <si>
    <t>申請書提出年月日</t>
  </si>
  <si>
    <t>３．</t>
  </si>
  <si>
    <t>受付番号</t>
  </si>
  <si>
    <t>４．</t>
  </si>
  <si>
    <t>申請した業務</t>
  </si>
  <si>
    <t>建築基準法第６条の２第1項の規定による確認</t>
  </si>
  <si>
    <t>建築基準法第７条の４第1項の規定による中間検査</t>
  </si>
  <si>
    <t>建築基準法第７条の２第1項の規定による完了検査</t>
  </si>
  <si>
    <t>５．</t>
  </si>
  <si>
    <t>申請した業務の対象</t>
  </si>
  <si>
    <t>工作物</t>
  </si>
  <si>
    <t>６．</t>
  </si>
  <si>
    <t>取下げの理由</t>
  </si>
  <si>
    <t>この届出は、建築主（設置者・築造主）でなければできません。</t>
  </si>
  <si>
    <t>該当する</t>
  </si>
  <si>
    <t>には、</t>
  </si>
  <si>
    <t>「レ」印を記入してください。</t>
  </si>
  <si>
    <t>様式－ＩＰＥＣ－１０</t>
  </si>
  <si>
    <t>工事取りやめ届</t>
  </si>
  <si>
    <t>下記の確認済証の交付されている工事又は用途変更について、都合により取りやめたいので、</t>
  </si>
  <si>
    <t>届け出ます。</t>
  </si>
  <si>
    <t>４.</t>
  </si>
  <si>
    <t>取りやめ部分</t>
  </si>
  <si>
    <t>全部</t>
  </si>
  <si>
    <t>一部）</t>
  </si>
  <si>
    <t>建築面積のうち　　　　　　　</t>
  </si>
  <si>
    <t>延べ面積のうち　　　　　</t>
  </si>
  <si>
    <t>５.</t>
  </si>
  <si>
    <t>取りやめの理由</t>
  </si>
  <si>
    <t>届出には取りやめる工事の確認済証と副本を提出してください。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</si>
</sst>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e"/>
    <numFmt numFmtId="183" formatCode="m"/>
    <numFmt numFmtId="184" formatCode="d"/>
    <numFmt numFmtId="185" formatCode="yyyy/mm/dd"/>
    <numFmt numFmtId="186" formatCode="[$-411]ggge&quot;年&quot;mm&quot;月&quot;dd&quot;日 ( &quot;aaa&quot; )&quot;;@"/>
    <numFmt numFmtId="187" formatCode="[$-F800]dddd\,\ mmmm\ dd\,\ yyyy"/>
    <numFmt numFmtId="188" formatCode="ggg"/>
    <numFmt numFmtId="189" formatCode="\1."/>
    <numFmt numFmtId="190" formatCode="."/>
    <numFmt numFmtId="191" formatCode="00"/>
  </numFmts>
  <fonts count="75">
    <font>
      <sz val="11"/>
      <name val="ＭＳ Ｐゴシック"/>
      <family val="3"/>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9"/>
      <name val="ＭＳ Ｐゴシック"/>
      <family val="3"/>
    </font>
    <font>
      <sz val="12"/>
      <color indexed="8"/>
      <name val="ＭＳ 明朝"/>
      <family val="1"/>
    </font>
    <font>
      <sz val="12"/>
      <name val="ＭＳ 明朝"/>
      <family val="1"/>
    </font>
    <font>
      <sz val="11"/>
      <color indexed="8"/>
      <name val="ＭＳ 明朝"/>
      <family val="1"/>
    </font>
    <font>
      <sz val="11"/>
      <name val="ＭＳ 明朝"/>
      <family val="1"/>
    </font>
    <font>
      <sz val="10"/>
      <name val="ＭＳ 明朝"/>
      <family val="1"/>
    </font>
    <font>
      <b/>
      <sz val="18"/>
      <name val="ＭＳ ゴシック"/>
      <family val="3"/>
    </font>
    <font>
      <sz val="9"/>
      <color indexed="10"/>
      <name val="ＭＳ Ｐゴシック"/>
      <family val="3"/>
    </font>
    <font>
      <sz val="11"/>
      <color theme="1"/>
      <name val="ＭＳ 明朝"/>
      <family val="1"/>
    </font>
    <font>
      <sz val="10.5"/>
      <color theme="1"/>
      <name val="ＭＳ 明朝"/>
      <family val="1"/>
    </font>
    <font>
      <sz val="10"/>
      <color theme="1"/>
      <name val="ＭＳ 明朝"/>
      <family val="1"/>
    </font>
    <font>
      <sz val="9"/>
      <color indexed="8"/>
      <name val="ＭＳ Ｐゴシック"/>
      <family val="3"/>
    </font>
    <font>
      <sz val="10"/>
      <color rgb="FFFF0000"/>
      <name val="ＭＳ Ｐゴシック"/>
      <family val="3"/>
    </font>
    <font>
      <u/>
      <sz val="11"/>
      <color theme="10"/>
      <name val="ＭＳ Ｐゴシック"/>
      <family val="2"/>
      <scheme val="minor"/>
    </font>
    <font>
      <sz val="9"/>
      <color indexed="9"/>
      <name val="ＭＳ Ｐゴシック"/>
      <family val="3"/>
    </font>
    <font>
      <b/>
      <sz val="18"/>
      <color indexed="56"/>
      <name val="ＭＳ Ｐゴシック"/>
      <family val="3"/>
    </font>
    <font>
      <b/>
      <sz val="9"/>
      <color indexed="9"/>
      <name val="ＭＳ Ｐゴシック"/>
      <family val="3"/>
    </font>
    <font>
      <sz val="9"/>
      <color indexed="60"/>
      <name val="ＭＳ Ｐゴシック"/>
      <family val="3"/>
    </font>
    <font>
      <sz val="9"/>
      <color indexed="52"/>
      <name val="ＭＳ Ｐゴシック"/>
      <family val="3"/>
    </font>
    <font>
      <sz val="9"/>
      <color indexed="20"/>
      <name val="ＭＳ Ｐゴシック"/>
      <family val="3"/>
    </font>
    <font>
      <b/>
      <sz val="9"/>
      <color indexed="52"/>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8"/>
      <name val="ＭＳ Ｐゴシック"/>
      <family val="3"/>
    </font>
    <font>
      <b/>
      <sz val="9"/>
      <color indexed="63"/>
      <name val="ＭＳ Ｐゴシック"/>
      <family val="3"/>
    </font>
    <font>
      <i/>
      <sz val="9"/>
      <color indexed="23"/>
      <name val="ＭＳ Ｐゴシック"/>
      <family val="3"/>
    </font>
    <font>
      <sz val="9"/>
      <color indexed="62"/>
      <name val="ＭＳ Ｐゴシック"/>
      <family val="3"/>
    </font>
    <font>
      <sz val="9"/>
      <color indexed="17"/>
      <name val="ＭＳ Ｐゴシック"/>
      <family val="3"/>
    </font>
    <font>
      <sz val="11"/>
      <color theme="1"/>
      <name val="ＭＳ Ｐゴシック"/>
      <family val="3"/>
      <scheme val="minor"/>
    </font>
    <font>
      <sz val="10"/>
      <color indexed="8"/>
      <name val="ＭＳ Ｐゴシック"/>
      <family val="3"/>
    </font>
    <font>
      <sz val="10"/>
      <color theme="1"/>
      <name val="ＭＳ Ｐゴシック"/>
      <family val="3"/>
    </font>
    <font>
      <sz val="11"/>
      <name val="ＭＳ Ｐゴシック"/>
      <family val="3"/>
    </font>
    <font>
      <sz val="11"/>
      <color theme="1"/>
      <name val="ＭＳ Ｐゴシック"/>
      <family val="2"/>
      <scheme val="minor"/>
    </font>
    <font>
      <sz val="16"/>
      <color theme="1"/>
      <name val="ＭＳ 明朝"/>
      <family val="1"/>
    </font>
    <font>
      <sz val="10.5"/>
      <color theme="1"/>
      <name val="ＭＳ Ｐ明朝"/>
      <family val="1"/>
    </font>
    <font>
      <b/>
      <sz val="14"/>
      <color theme="1"/>
      <name val="ＭＳ 明朝"/>
      <family val="1"/>
    </font>
    <font>
      <sz val="9"/>
      <name val="ＭＳ 明朝"/>
      <family val="1"/>
    </font>
    <font>
      <sz val="7.5"/>
      <name val="ＭＳ 明朝"/>
      <family val="1"/>
    </font>
    <font>
      <sz val="7"/>
      <name val="ＭＳ Ｐゴシック"/>
      <family val="3"/>
    </font>
    <font>
      <sz val="8"/>
      <name val="ＭＳ Ｐゴシック"/>
      <family val="3"/>
    </font>
    <font>
      <sz val="10.5"/>
      <name val="ＭＳ Ｐ明朝"/>
      <family val="1"/>
    </font>
    <font>
      <sz val="8"/>
      <name val="ＭＳ 明朝"/>
      <family val="1"/>
    </font>
    <font>
      <sz val="8"/>
      <name val="ＭＳ Ｐ明朝"/>
      <family val="1"/>
    </font>
    <font>
      <sz val="10"/>
      <name val="ＭＳ Ｐ明朝"/>
      <family val="1"/>
    </font>
    <font>
      <sz val="10.5"/>
      <name val="ＭＳ Ｐゴシック"/>
      <family val="3"/>
    </font>
    <font>
      <b/>
      <sz val="10.5"/>
      <name val="ＭＳ Ｐ明朝"/>
      <family val="1"/>
    </font>
    <font>
      <b/>
      <sz val="14"/>
      <name val="ＭＳ Ｐ明朝"/>
      <family val="1"/>
    </font>
    <font>
      <sz val="14"/>
      <name val="ＭＳ Ｐゴシック"/>
      <family val="3"/>
    </font>
    <font>
      <b/>
      <sz val="14"/>
      <name val="ＭＳ 明朝"/>
      <family val="1"/>
    </font>
    <font>
      <sz val="14"/>
      <name val="ＭＳ 明朝"/>
      <family val="1"/>
    </font>
    <font>
      <sz val="9"/>
      <name val="ＭＳ Ｐ明朝"/>
      <family val="1"/>
    </font>
    <font>
      <b/>
      <sz val="12"/>
      <name val="ＭＳ 明朝"/>
      <family val="1"/>
    </font>
    <font>
      <sz val="11"/>
      <name val="ＭＳ Ｐ明朝"/>
      <family val="1"/>
    </font>
    <font>
      <sz val="14"/>
      <name val="ＭＳ Ｐ明朝"/>
      <family val="1"/>
    </font>
    <font>
      <b/>
      <sz val="12"/>
      <name val="ＭＳ Ｐ明朝"/>
      <family val="1"/>
    </font>
    <font>
      <sz val="11"/>
      <color theme="1"/>
      <name val="ＭＳ Ｐ明朝"/>
      <family val="1"/>
    </font>
    <font>
      <sz val="10"/>
      <color theme="1"/>
      <name val="ＭＳ Ｐ明朝"/>
      <family val="1"/>
    </font>
    <font>
      <b/>
      <sz val="12"/>
      <color theme="1"/>
      <name val="ＭＳ Ｐ明朝"/>
      <family val="1"/>
    </font>
    <font>
      <sz val="10.5"/>
      <name val="ＭＳ Ｐ明朝"/>
      <family val="1"/>
      <charset val="128"/>
    </font>
    <font>
      <b/>
      <sz val="14"/>
      <name val="ＭＳ Ｐ明朝"/>
      <family val="1"/>
      <charset val="128"/>
    </font>
    <font>
      <b/>
      <sz val="10.5"/>
      <name val="ＭＳ Ｐ明朝"/>
      <family val="1"/>
      <charset val="128"/>
    </font>
    <font>
      <b/>
      <sz val="9"/>
      <color indexed="81"/>
      <name val="ＭＳ Ｐゴシック"/>
      <family val="3"/>
      <charset val="128"/>
    </font>
    <font>
      <b/>
      <sz val="9"/>
      <color indexed="81"/>
      <name val="MS P ゴシック"/>
      <family val="3"/>
      <charset val="128"/>
    </font>
    <font>
      <sz val="9"/>
      <color indexed="8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52"/>
        <bgColor indexed="64"/>
      </patternFill>
    </fill>
    <fill>
      <patternFill patternType="solid">
        <fgColor indexed="29"/>
        <bgColor indexed="64"/>
      </patternFill>
    </fill>
    <fill>
      <patternFill patternType="solid">
        <fgColor rgb="FF99CCFF"/>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99CC"/>
        <bgColor indexed="64"/>
      </patternFill>
    </fill>
    <fill>
      <patternFill patternType="solid">
        <fgColor rgb="FF00FF00"/>
        <bgColor indexed="64"/>
      </patternFill>
    </fill>
    <fill>
      <patternFill patternType="solid">
        <fgColor rgb="FF99CC00"/>
        <bgColor indexed="64"/>
      </patternFill>
    </fill>
    <fill>
      <patternFill patternType="solid">
        <fgColor theme="2"/>
        <bgColor indexed="64"/>
      </patternFill>
    </fill>
    <fill>
      <patternFill patternType="solid">
        <fgColor indexed="9"/>
        <bgColor indexed="64"/>
      </patternFill>
    </fill>
    <fill>
      <patternFill patternType="solid">
        <fgColor theme="9" tint="0.79998168889431442"/>
        <bgColor indexed="64"/>
      </patternFill>
    </fill>
  </fills>
  <borders count="10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hair">
        <color auto="1"/>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style="hair">
        <color indexed="64"/>
      </left>
      <right style="thin">
        <color indexed="64"/>
      </right>
      <top style="hair">
        <color indexed="64"/>
      </top>
      <bottom style="hair">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auto="1"/>
      </left>
      <right style="thin">
        <color indexed="64"/>
      </right>
      <top style="hair">
        <color auto="1"/>
      </top>
      <bottom style="thin">
        <color indexed="64"/>
      </bottom>
      <diagonal/>
    </border>
    <border>
      <left/>
      <right style="thin">
        <color indexed="64"/>
      </right>
      <top style="hair">
        <color indexed="64"/>
      </top>
      <bottom style="hair">
        <color indexed="64"/>
      </bottom>
      <diagonal/>
    </border>
    <border>
      <left style="thin">
        <color auto="1"/>
      </left>
      <right/>
      <top/>
      <bottom/>
      <diagonal/>
    </border>
    <border>
      <left style="hair">
        <color indexed="64"/>
      </left>
      <right style="thin">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s>
  <cellStyleXfs count="140">
    <xf numFmtId="0" fontId="0" fillId="12" borderId="0">
      <alignment vertical="center"/>
    </xf>
    <xf numFmtId="0" fontId="21" fillId="13" borderId="0">
      <alignment vertical="center"/>
    </xf>
    <xf numFmtId="0" fontId="21" fillId="14" borderId="0">
      <alignment vertical="center"/>
    </xf>
    <xf numFmtId="0" fontId="21" fillId="15" borderId="0">
      <alignment vertical="center"/>
    </xf>
    <xf numFmtId="0" fontId="21" fillId="16" borderId="0">
      <alignment vertical="center"/>
    </xf>
    <xf numFmtId="0" fontId="21" fillId="17" borderId="0">
      <alignment vertical="center"/>
    </xf>
    <xf numFmtId="0" fontId="21" fillId="18" borderId="0">
      <alignment vertical="center"/>
    </xf>
    <xf numFmtId="0" fontId="21" fillId="19" borderId="0">
      <alignment vertical="center"/>
    </xf>
    <xf numFmtId="0" fontId="21" fillId="20" borderId="0">
      <alignment vertical="center"/>
    </xf>
    <xf numFmtId="0" fontId="21" fillId="15" borderId="0">
      <alignment vertical="center"/>
    </xf>
    <xf numFmtId="0" fontId="21" fillId="18" borderId="0">
      <alignment vertical="center"/>
    </xf>
    <xf numFmtId="0" fontId="21" fillId="21" borderId="0">
      <alignment vertical="center"/>
    </xf>
    <xf numFmtId="0" fontId="24" fillId="22" borderId="0">
      <alignment vertical="center"/>
    </xf>
    <xf numFmtId="0" fontId="24" fillId="19" borderId="0">
      <alignment vertical="center"/>
    </xf>
    <xf numFmtId="0" fontId="24" fillId="20" borderId="0">
      <alignment vertical="center"/>
    </xf>
    <xf numFmtId="0" fontId="24" fillId="23" borderId="0">
      <alignment vertical="center"/>
    </xf>
    <xf numFmtId="0" fontId="24" fillId="24" borderId="0">
      <alignment vertical="center"/>
    </xf>
    <xf numFmtId="0" fontId="24" fillId="25" borderId="0">
      <alignment vertical="center"/>
    </xf>
    <xf numFmtId="0" fontId="24" fillId="26" borderId="0">
      <alignment vertical="center"/>
    </xf>
    <xf numFmtId="0" fontId="24" fillId="27" borderId="0">
      <alignment vertical="center"/>
    </xf>
    <xf numFmtId="0" fontId="24" fillId="28" borderId="0">
      <alignment vertical="center"/>
    </xf>
    <xf numFmtId="0" fontId="24" fillId="23" borderId="0">
      <alignment vertical="center"/>
    </xf>
    <xf numFmtId="0" fontId="24" fillId="24" borderId="0">
      <alignment vertical="center"/>
    </xf>
    <xf numFmtId="0" fontId="24" fillId="29" borderId="0">
      <alignment vertical="center"/>
    </xf>
    <xf numFmtId="0" fontId="25" fillId="0" borderId="0">
      <alignment vertical="center"/>
    </xf>
    <xf numFmtId="0" fontId="26" fillId="30" borderId="22">
      <alignment vertical="center"/>
    </xf>
    <xf numFmtId="0" fontId="27" fillId="31" borderId="0">
      <alignment vertical="center"/>
    </xf>
    <xf numFmtId="9" fontId="7" fillId="0" borderId="0"/>
    <xf numFmtId="9" fontId="7" fillId="0" borderId="0"/>
    <xf numFmtId="9" fontId="7" fillId="0" borderId="0">
      <alignment vertical="center"/>
    </xf>
    <xf numFmtId="0" fontId="23" fillId="0" borderId="0">
      <alignment vertical="center"/>
    </xf>
    <xf numFmtId="0" fontId="21" fillId="32" borderId="23">
      <alignment vertical="center"/>
    </xf>
    <xf numFmtId="0" fontId="28" fillId="0" borderId="24">
      <alignment vertical="center"/>
    </xf>
    <xf numFmtId="0" fontId="29" fillId="13" borderId="0">
      <alignment vertical="center"/>
    </xf>
    <xf numFmtId="0" fontId="30" fillId="33" borderId="25">
      <alignment vertical="center"/>
    </xf>
    <xf numFmtId="0" fontId="17" fillId="0" borderId="0">
      <alignment vertical="center"/>
    </xf>
    <xf numFmtId="38" fontId="7" fillId="0" borderId="0"/>
    <xf numFmtId="0" fontId="31" fillId="0" borderId="26">
      <alignment vertical="center"/>
    </xf>
    <xf numFmtId="0" fontId="32" fillId="0" borderId="27">
      <alignment vertical="center"/>
    </xf>
    <xf numFmtId="0" fontId="33" fillId="0" borderId="28">
      <alignment vertical="center"/>
    </xf>
    <xf numFmtId="0" fontId="33" fillId="0" borderId="0">
      <alignment vertical="center"/>
    </xf>
    <xf numFmtId="0" fontId="34" fillId="0" borderId="29">
      <alignment vertical="center"/>
    </xf>
    <xf numFmtId="0" fontId="35" fillId="33" borderId="30">
      <alignment vertical="center"/>
    </xf>
    <xf numFmtId="0" fontId="36" fillId="0" borderId="0">
      <alignment vertical="center"/>
    </xf>
    <xf numFmtId="6" fontId="7" fillId="0" borderId="0"/>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7" fillId="0" borderId="0"/>
    <xf numFmtId="6" fontId="6" fillId="0" borderId="0">
      <alignment vertical="center"/>
    </xf>
    <xf numFmtId="6" fontId="10" fillId="0" borderId="0">
      <alignment vertical="center"/>
    </xf>
    <xf numFmtId="6" fontId="7" fillId="0" borderId="0"/>
    <xf numFmtId="0" fontId="37" fillId="17" borderId="25">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center"/>
    </xf>
    <xf numFmtId="0" fontId="7" fillId="0" borderId="0">
      <alignment vertical="center"/>
    </xf>
    <xf numFmtId="0" fontId="7" fillId="0" borderId="0"/>
    <xf numFmtId="0" fontId="14" fillId="0" borderId="0"/>
    <xf numFmtId="0" fontId="14" fillId="0" borderId="0"/>
    <xf numFmtId="0" fontId="4" fillId="0" borderId="0">
      <alignment vertical="center"/>
    </xf>
    <xf numFmtId="0" fontId="1"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7" fillId="0" borderId="0"/>
    <xf numFmtId="0" fontId="7" fillId="0" borderId="0"/>
    <xf numFmtId="0" fontId="10" fillId="0" borderId="0">
      <alignment vertical="center"/>
    </xf>
    <xf numFmtId="0" fontId="14" fillId="0" borderId="0"/>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21" fillId="0" borderId="0">
      <alignment vertical="center"/>
    </xf>
    <xf numFmtId="0" fontId="21" fillId="0" borderId="0">
      <alignment vertical="center"/>
    </xf>
    <xf numFmtId="0" fontId="14" fillId="0" borderId="0"/>
    <xf numFmtId="0" fontId="10" fillId="0" borderId="0">
      <alignment vertical="center"/>
    </xf>
    <xf numFmtId="9" fontId="42"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7" fillId="0" borderId="0"/>
    <xf numFmtId="0" fontId="3" fillId="0" borderId="0">
      <alignment vertical="center"/>
    </xf>
    <xf numFmtId="0" fontId="43" fillId="0" borderId="0">
      <alignment vertical="center"/>
    </xf>
    <xf numFmtId="0" fontId="7" fillId="0" borderId="0">
      <alignment vertical="center"/>
    </xf>
    <xf numFmtId="0" fontId="7" fillId="0" borderId="0"/>
    <xf numFmtId="0" fontId="38" fillId="14" borderId="0">
      <alignment vertical="center"/>
    </xf>
    <xf numFmtId="0" fontId="7" fillId="12" borderId="0">
      <alignment vertical="center"/>
    </xf>
  </cellStyleXfs>
  <cellXfs count="1082">
    <xf numFmtId="0" fontId="21" fillId="12" borderId="0" xfId="0" applyFont="1">
      <alignment vertical="center"/>
    </xf>
    <xf numFmtId="0" fontId="23" fillId="0" borderId="0" xfId="30">
      <alignment vertical="center"/>
    </xf>
    <xf numFmtId="0" fontId="0" fillId="12" borderId="0" xfId="0">
      <alignment vertical="center"/>
    </xf>
    <xf numFmtId="0" fontId="7" fillId="0" borderId="0" xfId="55"/>
    <xf numFmtId="0" fontId="5" fillId="0" borderId="0" xfId="65">
      <alignment vertical="center"/>
    </xf>
    <xf numFmtId="0" fontId="7" fillId="0" borderId="0" xfId="107"/>
    <xf numFmtId="0" fontId="7" fillId="0" borderId="0" xfId="109"/>
    <xf numFmtId="0" fontId="3" fillId="0" borderId="0" xfId="129">
      <alignment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49" fontId="0" fillId="12" borderId="0" xfId="0" applyNumberFormat="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3" borderId="6" xfId="0" applyFont="1" applyFill="1" applyBorder="1" applyAlignment="1">
      <alignment vertical="center" wrapText="1"/>
    </xf>
    <xf numFmtId="0" fontId="10" fillId="12" borderId="0" xfId="0" applyFont="1">
      <alignment vertical="center"/>
    </xf>
    <xf numFmtId="0" fontId="10" fillId="12" borderId="0" xfId="0" applyFont="1" applyAlignment="1">
      <alignment horizontal="left" vertical="center" wrapText="1"/>
    </xf>
    <xf numFmtId="0" fontId="10" fillId="12" borderId="0" xfId="0" applyFont="1" applyAlignment="1">
      <alignment horizontal="left" vertical="center"/>
    </xf>
    <xf numFmtId="0" fontId="17" fillId="12" borderId="0" xfId="0" applyFont="1" applyAlignment="1">
      <alignment horizontal="left" vertical="center"/>
    </xf>
    <xf numFmtId="0" fontId="8" fillId="12" borderId="0" xfId="0" applyFont="1">
      <alignment vertical="center"/>
    </xf>
    <xf numFmtId="0" fontId="8" fillId="12" borderId="0" xfId="0" applyFont="1" applyAlignment="1">
      <alignment horizontal="left" vertical="center"/>
    </xf>
    <xf numFmtId="0" fontId="20" fillId="0" borderId="0" xfId="65" applyFont="1" applyProtection="1">
      <alignment vertical="center"/>
      <protection locked="0"/>
    </xf>
    <xf numFmtId="0" fontId="23" fillId="0" borderId="0" xfId="30" applyAlignment="1">
      <alignment horizontal="center" vertical="center"/>
    </xf>
    <xf numFmtId="0" fontId="7" fillId="0" borderId="0" xfId="65" applyFont="1" applyProtection="1">
      <alignment vertical="center"/>
      <protection locked="0"/>
    </xf>
    <xf numFmtId="49" fontId="5" fillId="0" borderId="0" xfId="65" applyNumberFormat="1">
      <alignment vertical="center"/>
    </xf>
    <xf numFmtId="0" fontId="19" fillId="0" borderId="0" xfId="65" applyFont="1">
      <alignment vertical="center"/>
    </xf>
    <xf numFmtId="0" fontId="5" fillId="0" borderId="0" xfId="65" applyAlignment="1">
      <alignment horizontal="center" vertical="center"/>
    </xf>
    <xf numFmtId="0" fontId="8" fillId="0" borderId="4" xfId="136" applyFont="1" applyBorder="1" applyProtection="1">
      <alignment vertical="center"/>
      <protection locked="0"/>
    </xf>
    <xf numFmtId="0" fontId="8" fillId="2" borderId="0" xfId="0" applyFont="1" applyFill="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1" xfId="0" applyFont="1" applyFill="1" applyBorder="1" applyAlignment="1">
      <alignment vertical="center" shrinkToFit="1"/>
    </xf>
    <xf numFmtId="0" fontId="8" fillId="2" borderId="8" xfId="0" applyFont="1" applyFill="1" applyBorder="1" applyAlignment="1">
      <alignment vertical="center" shrinkToFit="1"/>
    </xf>
    <xf numFmtId="0" fontId="8" fillId="34" borderId="0" xfId="0" applyFont="1" applyFill="1" applyAlignment="1">
      <alignment vertical="center" wrapText="1"/>
    </xf>
    <xf numFmtId="0" fontId="40" fillId="12" borderId="0" xfId="0" applyFont="1">
      <alignment vertical="center"/>
    </xf>
    <xf numFmtId="49" fontId="8" fillId="12" borderId="0" xfId="0" applyNumberFormat="1" applyFont="1" applyAlignment="1">
      <alignment horizontal="left" vertical="center"/>
    </xf>
    <xf numFmtId="0" fontId="8" fillId="12" borderId="0" xfId="0" applyFont="1" applyAlignment="1">
      <alignment horizontal="left" vertical="top"/>
    </xf>
    <xf numFmtId="0" fontId="8" fillId="12" borderId="0" xfId="0" applyFont="1" applyAlignment="1">
      <alignment horizontal="left" vertical="top" wrapText="1"/>
    </xf>
    <xf numFmtId="49" fontId="8" fillId="34" borderId="6" xfId="0" applyNumberFormat="1" applyFont="1" applyFill="1" applyBorder="1" applyAlignment="1">
      <alignment horizontal="left" vertical="center"/>
    </xf>
    <xf numFmtId="49" fontId="8" fillId="34" borderId="9" xfId="0" applyNumberFormat="1" applyFont="1" applyFill="1" applyBorder="1" applyAlignment="1">
      <alignment horizontal="left" vertical="center"/>
    </xf>
    <xf numFmtId="49" fontId="8" fillId="34" borderId="6" xfId="0" applyNumberFormat="1" applyFont="1" applyFill="1" applyBorder="1" applyAlignment="1">
      <alignment horizontal="left" vertical="top"/>
    </xf>
    <xf numFmtId="49" fontId="8" fillId="34" borderId="12" xfId="0" applyNumberFormat="1" applyFont="1" applyFill="1" applyBorder="1" applyAlignment="1">
      <alignment horizontal="left" vertical="center"/>
    </xf>
    <xf numFmtId="49" fontId="8" fillId="34" borderId="13" xfId="0" applyNumberFormat="1" applyFont="1" applyFill="1" applyBorder="1" applyAlignment="1">
      <alignment horizontal="left" vertical="center"/>
    </xf>
    <xf numFmtId="0" fontId="8" fillId="34" borderId="20" xfId="0" applyFont="1" applyFill="1" applyBorder="1">
      <alignment vertical="center"/>
    </xf>
    <xf numFmtId="0" fontId="8" fillId="2" borderId="20" xfId="0" applyFont="1" applyFill="1" applyBorder="1" applyAlignment="1">
      <alignment vertical="center" wrapText="1"/>
    </xf>
    <xf numFmtId="0" fontId="8" fillId="34" borderId="0" xfId="0" applyFont="1" applyFill="1">
      <alignment vertical="center"/>
    </xf>
    <xf numFmtId="0" fontId="8" fillId="2" borderId="12" xfId="0" applyFont="1" applyFill="1" applyBorder="1" applyAlignment="1">
      <alignment vertical="center" wrapText="1"/>
    </xf>
    <xf numFmtId="0" fontId="8" fillId="34" borderId="1" xfId="0" applyFont="1" applyFill="1" applyBorder="1" applyAlignment="1">
      <alignment vertical="center" wrapText="1"/>
    </xf>
    <xf numFmtId="0" fontId="8" fillId="34" borderId="10" xfId="0" applyFont="1" applyFill="1" applyBorder="1" applyAlignment="1">
      <alignment vertical="center" wrapText="1"/>
    </xf>
    <xf numFmtId="0" fontId="8" fillId="34" borderId="1" xfId="0" applyFont="1" applyFill="1" applyBorder="1">
      <alignment vertical="center"/>
    </xf>
    <xf numFmtId="0" fontId="8" fillId="34" borderId="10" xfId="0" applyFont="1" applyFill="1" applyBorder="1">
      <alignment vertical="center"/>
    </xf>
    <xf numFmtId="0" fontId="8" fillId="34" borderId="6" xfId="0" applyFont="1" applyFill="1" applyBorder="1">
      <alignment vertical="center"/>
    </xf>
    <xf numFmtId="0" fontId="8" fillId="34" borderId="8" xfId="0" applyFont="1" applyFill="1" applyBorder="1">
      <alignment vertical="center"/>
    </xf>
    <xf numFmtId="0" fontId="8" fillId="11" borderId="1" xfId="0" applyFont="1" applyFill="1" applyBorder="1" applyAlignment="1">
      <alignment vertical="center" wrapText="1"/>
    </xf>
    <xf numFmtId="0" fontId="8" fillId="11" borderId="10" xfId="0" applyFont="1" applyFill="1" applyBorder="1" applyAlignment="1">
      <alignment vertical="center" wrapText="1"/>
    </xf>
    <xf numFmtId="0" fontId="8" fillId="11" borderId="20" xfId="0" applyFont="1" applyFill="1" applyBorder="1" applyAlignment="1">
      <alignment vertical="center" wrapText="1"/>
    </xf>
    <xf numFmtId="0" fontId="8" fillId="11" borderId="31" xfId="0" applyFont="1" applyFill="1" applyBorder="1" applyAlignment="1">
      <alignment vertical="center" wrapText="1"/>
    </xf>
    <xf numFmtId="0" fontId="8" fillId="11" borderId="32" xfId="0" applyFont="1" applyFill="1" applyBorder="1" applyAlignment="1">
      <alignment vertical="center" wrapText="1"/>
    </xf>
    <xf numFmtId="0" fontId="8" fillId="12" borderId="0" xfId="0" applyFont="1" applyAlignment="1">
      <alignment horizontal="left" vertical="center" wrapText="1"/>
    </xf>
    <xf numFmtId="0" fontId="8" fillId="34" borderId="3" xfId="0" applyFont="1" applyFill="1" applyBorder="1" applyAlignment="1">
      <alignment vertical="center" wrapText="1"/>
    </xf>
    <xf numFmtId="0" fontId="8" fillId="11" borderId="13" xfId="0" applyFont="1" applyFill="1" applyBorder="1" applyAlignment="1">
      <alignment vertical="center" wrapText="1"/>
    </xf>
    <xf numFmtId="0" fontId="8" fillId="2" borderId="0" xfId="0" applyFont="1" applyFill="1">
      <alignment vertical="center"/>
    </xf>
    <xf numFmtId="0" fontId="8" fillId="11" borderId="6" xfId="0" applyFont="1" applyFill="1" applyBorder="1">
      <alignment vertical="center"/>
    </xf>
    <xf numFmtId="0" fontId="8" fillId="11" borderId="8" xfId="0" applyFont="1" applyFill="1" applyBorder="1">
      <alignment vertical="center"/>
    </xf>
    <xf numFmtId="0" fontId="8" fillId="34" borderId="5" xfId="0" applyFont="1" applyFill="1" applyBorder="1">
      <alignment vertical="center"/>
    </xf>
    <xf numFmtId="0" fontId="8" fillId="11" borderId="12" xfId="0" applyFont="1" applyFill="1" applyBorder="1" applyAlignment="1">
      <alignment horizontal="left" vertical="center"/>
    </xf>
    <xf numFmtId="0" fontId="10" fillId="35" borderId="0" xfId="0" applyFont="1" applyFill="1" applyAlignment="1">
      <alignment horizontal="left" vertical="center"/>
    </xf>
    <xf numFmtId="0" fontId="8" fillId="34" borderId="9" xfId="0" applyFont="1" applyFill="1" applyBorder="1">
      <alignment vertical="center"/>
    </xf>
    <xf numFmtId="0" fontId="8" fillId="2" borderId="15" xfId="0" applyFont="1" applyFill="1" applyBorder="1" applyAlignment="1">
      <alignment vertical="center" wrapText="1"/>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0" fontId="8" fillId="2" borderId="35" xfId="0" applyFont="1" applyFill="1" applyBorder="1" applyAlignment="1">
      <alignment vertical="center" wrapText="1"/>
    </xf>
    <xf numFmtId="0" fontId="8" fillId="2" borderId="18" xfId="0" applyFont="1" applyFill="1" applyBorder="1" applyAlignment="1">
      <alignment vertical="center" wrapText="1"/>
    </xf>
    <xf numFmtId="0" fontId="8" fillId="2" borderId="34" xfId="0" applyFont="1" applyFill="1" applyBorder="1" applyAlignment="1">
      <alignment vertical="center" wrapText="1"/>
    </xf>
    <xf numFmtId="49" fontId="8" fillId="34" borderId="18" xfId="0" applyNumberFormat="1" applyFont="1" applyFill="1" applyBorder="1">
      <alignment vertical="center"/>
    </xf>
    <xf numFmtId="0" fontId="8" fillId="34" borderId="18" xfId="0" applyFont="1" applyFill="1" applyBorder="1">
      <alignment vertical="center"/>
    </xf>
    <xf numFmtId="0" fontId="8" fillId="34" borderId="34" xfId="0" applyFont="1" applyFill="1" applyBorder="1">
      <alignment vertical="center"/>
    </xf>
    <xf numFmtId="0" fontId="8" fillId="11" borderId="18" xfId="0" applyFont="1" applyFill="1" applyBorder="1" applyAlignment="1">
      <alignment vertical="center" wrapText="1"/>
    </xf>
    <xf numFmtId="0" fontId="8" fillId="34" borderId="18" xfId="0" applyFont="1" applyFill="1" applyBorder="1" applyAlignment="1">
      <alignment vertical="center" wrapText="1"/>
    </xf>
    <xf numFmtId="49" fontId="8" fillId="34" borderId="18" xfId="0" applyNumberFormat="1" applyFont="1" applyFill="1" applyBorder="1" applyAlignment="1">
      <alignment horizontal="left" vertical="top"/>
    </xf>
    <xf numFmtId="49" fontId="8" fillId="34" borderId="18" xfId="0" applyNumberFormat="1" applyFont="1" applyFill="1" applyBorder="1" applyAlignment="1">
      <alignment horizontal="left" vertical="center"/>
    </xf>
    <xf numFmtId="0" fontId="40" fillId="34" borderId="34" xfId="0" applyFont="1" applyFill="1" applyBorder="1">
      <alignment vertical="center"/>
    </xf>
    <xf numFmtId="0" fontId="8" fillId="34" borderId="14" xfId="0" applyFont="1" applyFill="1" applyBorder="1">
      <alignment vertical="center"/>
    </xf>
    <xf numFmtId="0" fontId="8" fillId="2" borderId="18" xfId="0" applyFont="1" applyFill="1" applyBorder="1" applyAlignment="1">
      <alignment vertical="center" shrinkToFit="1"/>
    </xf>
    <xf numFmtId="0" fontId="8" fillId="34" borderId="6" xfId="0" applyFont="1" applyFill="1" applyBorder="1" applyAlignment="1">
      <alignment vertical="center" wrapText="1"/>
    </xf>
    <xf numFmtId="0" fontId="8" fillId="34" borderId="8" xfId="0" applyFont="1" applyFill="1" applyBorder="1" applyAlignment="1">
      <alignment vertical="center" wrapText="1"/>
    </xf>
    <xf numFmtId="0" fontId="8" fillId="34" borderId="34" xfId="0" applyFont="1" applyFill="1" applyBorder="1" applyAlignment="1">
      <alignment vertical="center" wrapText="1"/>
    </xf>
    <xf numFmtId="0" fontId="8" fillId="2" borderId="36" xfId="0" applyFont="1" applyFill="1" applyBorder="1" applyAlignment="1">
      <alignment vertical="center" wrapText="1"/>
    </xf>
    <xf numFmtId="0" fontId="8" fillId="2" borderId="1" xfId="0" applyFont="1" applyFill="1" applyBorder="1">
      <alignment vertical="center"/>
    </xf>
    <xf numFmtId="0" fontId="8" fillId="34" borderId="15" xfId="0" applyFont="1" applyFill="1" applyBorder="1">
      <alignment vertical="center"/>
    </xf>
    <xf numFmtId="49" fontId="8" fillId="2" borderId="6" xfId="0" applyNumberFormat="1" applyFont="1" applyFill="1" applyBorder="1">
      <alignment vertical="center"/>
    </xf>
    <xf numFmtId="49" fontId="8" fillId="2" borderId="6" xfId="0" applyNumberFormat="1" applyFont="1" applyFill="1" applyBorder="1" applyAlignment="1">
      <alignment vertical="center" shrinkToFit="1"/>
    </xf>
    <xf numFmtId="49" fontId="8" fillId="2" borderId="8" xfId="0" applyNumberFormat="1" applyFont="1" applyFill="1" applyBorder="1" applyAlignment="1">
      <alignment vertical="center" shrinkToFit="1"/>
    </xf>
    <xf numFmtId="49" fontId="8" fillId="2" borderId="12" xfId="0" applyNumberFormat="1" applyFont="1" applyFill="1" applyBorder="1">
      <alignment vertical="center"/>
    </xf>
    <xf numFmtId="49" fontId="8" fillId="2" borderId="35" xfId="0" applyNumberFormat="1" applyFont="1" applyFill="1" applyBorder="1" applyAlignment="1">
      <alignment vertical="center" shrinkToFit="1"/>
    </xf>
    <xf numFmtId="49" fontId="8" fillId="2" borderId="36" xfId="0" applyNumberFormat="1" applyFont="1" applyFill="1" applyBorder="1" applyAlignment="1">
      <alignment vertical="center" shrinkToFit="1"/>
    </xf>
    <xf numFmtId="49" fontId="8" fillId="2" borderId="37" xfId="0" applyNumberFormat="1" applyFont="1" applyFill="1" applyBorder="1" applyAlignment="1">
      <alignment vertical="center" shrinkToFit="1"/>
    </xf>
    <xf numFmtId="0" fontId="8" fillId="2" borderId="10" xfId="0" applyFont="1" applyFill="1" applyBorder="1" applyAlignment="1">
      <alignment vertical="center" shrinkToFit="1"/>
    </xf>
    <xf numFmtId="0" fontId="8" fillId="2" borderId="5" xfId="0" applyFont="1" applyFill="1" applyBorder="1" applyAlignment="1">
      <alignment vertical="center" shrinkToFit="1"/>
    </xf>
    <xf numFmtId="0" fontId="8" fillId="34" borderId="1" xfId="0" applyFont="1" applyFill="1" applyBorder="1" applyAlignment="1">
      <alignment vertical="center" shrinkToFit="1"/>
    </xf>
    <xf numFmtId="0" fontId="8" fillId="34" borderId="10" xfId="0" applyFont="1" applyFill="1" applyBorder="1" applyAlignment="1">
      <alignment vertical="center" shrinkToFit="1"/>
    </xf>
    <xf numFmtId="176" fontId="8" fillId="12" borderId="0" xfId="0" applyNumberFormat="1" applyFont="1" applyAlignment="1">
      <alignment horizontal="left" vertical="center"/>
    </xf>
    <xf numFmtId="0" fontId="20" fillId="34" borderId="11" xfId="65" applyFont="1" applyFill="1" applyBorder="1" applyProtection="1">
      <alignment vertical="center"/>
      <protection locked="0"/>
    </xf>
    <xf numFmtId="0" fontId="20" fillId="34" borderId="0" xfId="65" applyFont="1" applyFill="1" applyProtection="1">
      <alignment vertical="center"/>
      <protection locked="0"/>
    </xf>
    <xf numFmtId="0" fontId="20" fillId="34" borderId="6" xfId="65" applyFont="1" applyFill="1" applyBorder="1" applyProtection="1">
      <alignment vertical="center"/>
      <protection locked="0"/>
    </xf>
    <xf numFmtId="0" fontId="8" fillId="34" borderId="33" xfId="0" applyFont="1" applyFill="1" applyBorder="1">
      <alignment vertical="center"/>
    </xf>
    <xf numFmtId="49" fontId="8" fillId="12" borderId="0" xfId="0" applyNumberFormat="1" applyFont="1">
      <alignment vertical="center"/>
    </xf>
    <xf numFmtId="0" fontId="8" fillId="34" borderId="7" xfId="0" applyFont="1" applyFill="1" applyBorder="1">
      <alignment vertical="center"/>
    </xf>
    <xf numFmtId="177" fontId="8" fillId="12" borderId="0" xfId="0" applyNumberFormat="1" applyFont="1">
      <alignment vertical="center"/>
    </xf>
    <xf numFmtId="177" fontId="8" fillId="12" borderId="0" xfId="0" applyNumberFormat="1" applyFont="1" applyAlignment="1">
      <alignment horizontal="left" vertical="center"/>
    </xf>
    <xf numFmtId="0" fontId="8" fillId="34" borderId="11" xfId="0" applyFont="1" applyFill="1" applyBorder="1">
      <alignment vertical="center"/>
    </xf>
    <xf numFmtId="0" fontId="8" fillId="34" borderId="13" xfId="0" applyFont="1" applyFill="1" applyBorder="1">
      <alignment vertical="center"/>
    </xf>
    <xf numFmtId="0" fontId="8" fillId="11" borderId="10" xfId="0" applyFont="1" applyFill="1" applyBorder="1">
      <alignment vertical="center"/>
    </xf>
    <xf numFmtId="0" fontId="8" fillId="11" borderId="6" xfId="0" applyFont="1" applyFill="1" applyBorder="1" applyAlignment="1">
      <alignment vertical="center" wrapText="1"/>
    </xf>
    <xf numFmtId="0" fontId="8" fillId="11" borderId="18" xfId="0" applyFont="1" applyFill="1" applyBorder="1">
      <alignment vertical="center"/>
    </xf>
    <xf numFmtId="0" fontId="8" fillId="11" borderId="34" xfId="0" applyFont="1" applyFill="1" applyBorder="1" applyAlignment="1">
      <alignment vertical="center" wrapText="1"/>
    </xf>
    <xf numFmtId="0" fontId="8" fillId="34" borderId="18" xfId="0" applyFont="1" applyFill="1" applyBorder="1" applyAlignment="1">
      <alignment horizontal="left" vertical="center"/>
    </xf>
    <xf numFmtId="0" fontId="8" fillId="11" borderId="0" xfId="0" applyFont="1" applyFill="1">
      <alignment vertical="center"/>
    </xf>
    <xf numFmtId="0" fontId="8" fillId="11" borderId="8" xfId="0" applyFont="1" applyFill="1" applyBorder="1" applyAlignment="1">
      <alignment vertical="center" wrapText="1"/>
    </xf>
    <xf numFmtId="0" fontId="8" fillId="2" borderId="5" xfId="0" applyFont="1" applyFill="1" applyBorder="1" applyAlignment="1">
      <alignment vertical="center" wrapText="1"/>
    </xf>
    <xf numFmtId="0" fontId="8" fillId="12" borderId="0" xfId="0" applyFont="1" applyAlignment="1">
      <alignment horizontal="center" vertical="center"/>
    </xf>
    <xf numFmtId="0" fontId="8" fillId="12" borderId="38" xfId="0" applyFont="1" applyBorder="1" applyAlignment="1">
      <alignment horizontal="left" vertical="center"/>
    </xf>
    <xf numFmtId="0" fontId="8" fillId="12" borderId="39" xfId="0" applyFont="1" applyBorder="1" applyAlignment="1">
      <alignment horizontal="left" vertical="center"/>
    </xf>
    <xf numFmtId="0" fontId="8" fillId="12" borderId="40" xfId="0" applyFont="1" applyBorder="1">
      <alignment vertical="center"/>
    </xf>
    <xf numFmtId="0" fontId="8" fillId="9" borderId="41" xfId="0" applyFont="1" applyFill="1" applyBorder="1" applyAlignment="1">
      <alignment horizontal="left" vertical="center" wrapText="1"/>
    </xf>
    <xf numFmtId="0" fontId="8" fillId="12" borderId="42" xfId="0" applyFont="1" applyBorder="1" applyAlignment="1">
      <alignment horizontal="left" vertical="center" wrapText="1"/>
    </xf>
    <xf numFmtId="0" fontId="8" fillId="12" borderId="43" xfId="0" applyFont="1" applyBorder="1" applyAlignment="1">
      <alignment horizontal="left" vertical="center" wrapText="1"/>
    </xf>
    <xf numFmtId="0" fontId="8" fillId="12" borderId="44" xfId="0" applyFont="1" applyBorder="1" applyAlignment="1">
      <alignment horizontal="left" vertical="center" wrapText="1"/>
    </xf>
    <xf numFmtId="0" fontId="8" fillId="12" borderId="45" xfId="0" applyFont="1" applyBorder="1" applyAlignment="1">
      <alignment horizontal="left" vertical="center"/>
    </xf>
    <xf numFmtId="0" fontId="8" fillId="34" borderId="46" xfId="0" applyFont="1" applyFill="1" applyBorder="1" applyAlignment="1">
      <alignment vertical="center" wrapText="1"/>
    </xf>
    <xf numFmtId="0" fontId="8" fillId="12" borderId="40" xfId="0" applyFont="1" applyBorder="1" applyAlignment="1">
      <alignment horizontal="left" vertical="center"/>
    </xf>
    <xf numFmtId="0" fontId="8" fillId="12" borderId="42" xfId="0" applyFont="1" applyBorder="1">
      <alignment vertical="center"/>
    </xf>
    <xf numFmtId="0" fontId="8" fillId="12" borderId="43" xfId="0" applyFont="1" applyBorder="1">
      <alignment vertical="center"/>
    </xf>
    <xf numFmtId="0" fontId="8" fillId="12" borderId="44" xfId="0" applyFont="1" applyBorder="1">
      <alignment vertical="center"/>
    </xf>
    <xf numFmtId="0" fontId="8" fillId="11" borderId="48" xfId="0" applyFont="1" applyFill="1" applyBorder="1">
      <alignment vertical="center"/>
    </xf>
    <xf numFmtId="0" fontId="8" fillId="11" borderId="46" xfId="0" applyFont="1" applyFill="1" applyBorder="1" applyAlignment="1">
      <alignment vertical="center" wrapText="1"/>
    </xf>
    <xf numFmtId="0" fontId="8" fillId="11" borderId="50" xfId="0" applyFont="1" applyFill="1" applyBorder="1" applyAlignment="1">
      <alignment vertical="center" wrapText="1"/>
    </xf>
    <xf numFmtId="0" fontId="8" fillId="12" borderId="3" xfId="0" applyFont="1" applyBorder="1" applyAlignment="1">
      <alignment vertical="center" wrapText="1"/>
    </xf>
    <xf numFmtId="0" fontId="8" fillId="12" borderId="7" xfId="0" applyFont="1" applyBorder="1" applyAlignment="1">
      <alignment vertical="center" wrapText="1"/>
    </xf>
    <xf numFmtId="0" fontId="8" fillId="34" borderId="48" xfId="0" applyFont="1" applyFill="1" applyBorder="1" applyAlignment="1">
      <alignment vertical="center" wrapText="1"/>
    </xf>
    <xf numFmtId="0" fontId="8" fillId="34" borderId="46" xfId="0" applyFont="1" applyFill="1" applyBorder="1" applyAlignment="1">
      <alignment horizontal="left" vertical="center" wrapText="1"/>
    </xf>
    <xf numFmtId="0" fontId="8" fillId="3" borderId="10" xfId="0" applyFont="1" applyFill="1" applyBorder="1" applyAlignment="1">
      <alignment horizontal="right" vertical="center" wrapText="1"/>
    </xf>
    <xf numFmtId="0" fontId="8" fillId="3" borderId="46" xfId="0" applyFont="1" applyFill="1" applyBorder="1" applyAlignment="1">
      <alignment horizontal="left" vertical="center" wrapText="1"/>
    </xf>
    <xf numFmtId="0" fontId="8" fillId="34" borderId="50" xfId="0" applyFont="1" applyFill="1" applyBorder="1" applyAlignment="1">
      <alignment horizontal="left" vertic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51" xfId="0" applyFont="1" applyFill="1" applyBorder="1" applyAlignment="1">
      <alignment vertical="center" wrapText="1"/>
    </xf>
    <xf numFmtId="0" fontId="8" fillId="2" borderId="52" xfId="0" applyFont="1" applyFill="1" applyBorder="1" applyAlignment="1">
      <alignment vertical="center" wrapText="1"/>
    </xf>
    <xf numFmtId="0" fontId="8" fillId="2" borderId="46" xfId="0" applyFont="1" applyFill="1" applyBorder="1" applyAlignment="1">
      <alignment vertical="center" wrapText="1"/>
    </xf>
    <xf numFmtId="0" fontId="8" fillId="2" borderId="50" xfId="0" applyFont="1" applyFill="1" applyBorder="1" applyAlignment="1">
      <alignment vertical="center" wrapText="1"/>
    </xf>
    <xf numFmtId="0" fontId="8" fillId="2" borderId="47" xfId="0" applyFont="1" applyFill="1" applyBorder="1" applyAlignment="1">
      <alignment vertical="center" shrinkToFit="1"/>
    </xf>
    <xf numFmtId="49" fontId="8" fillId="2" borderId="51" xfId="0" applyNumberFormat="1" applyFont="1" applyFill="1" applyBorder="1">
      <alignment vertical="center"/>
    </xf>
    <xf numFmtId="0" fontId="8" fillId="2" borderId="52" xfId="0" applyFont="1" applyFill="1" applyBorder="1" applyAlignment="1">
      <alignment vertical="center" shrinkToFit="1"/>
    </xf>
    <xf numFmtId="0" fontId="8" fillId="2" borderId="46" xfId="0" applyFont="1" applyFill="1" applyBorder="1" applyAlignment="1">
      <alignment vertical="center" shrinkToFit="1"/>
    </xf>
    <xf numFmtId="0" fontId="8" fillId="2" borderId="54" xfId="0" applyFont="1" applyFill="1" applyBorder="1" applyAlignment="1">
      <alignment vertical="center" shrinkToFit="1"/>
    </xf>
    <xf numFmtId="49" fontId="8" fillId="2" borderId="35" xfId="0" applyNumberFormat="1" applyFont="1" applyFill="1" applyBorder="1">
      <alignment vertical="center"/>
    </xf>
    <xf numFmtId="0" fontId="8" fillId="34" borderId="54" xfId="0" applyFont="1" applyFill="1" applyBorder="1" applyAlignment="1">
      <alignment vertical="center" wrapText="1"/>
    </xf>
    <xf numFmtId="49" fontId="8" fillId="34" borderId="54" xfId="0" applyNumberFormat="1" applyFont="1" applyFill="1" applyBorder="1" applyAlignment="1">
      <alignment vertical="center" wrapText="1"/>
    </xf>
    <xf numFmtId="0" fontId="8" fillId="2" borderId="54" xfId="0" applyFont="1" applyFill="1" applyBorder="1" applyAlignment="1">
      <alignment vertical="center" wrapText="1"/>
    </xf>
    <xf numFmtId="0" fontId="8" fillId="34" borderId="32" xfId="0" applyFont="1" applyFill="1" applyBorder="1" applyAlignment="1">
      <alignment vertical="center" wrapText="1"/>
    </xf>
    <xf numFmtId="0" fontId="8" fillId="34" borderId="0" xfId="0" applyFont="1" applyFill="1" applyAlignment="1">
      <alignment horizontal="left" vertical="center"/>
    </xf>
    <xf numFmtId="0" fontId="8" fillId="34" borderId="47" xfId="0" applyFont="1" applyFill="1" applyBorder="1">
      <alignment vertical="center"/>
    </xf>
    <xf numFmtId="0" fontId="22" fillId="12" borderId="0" xfId="0" applyFont="1">
      <alignment vertical="center"/>
    </xf>
    <xf numFmtId="49" fontId="8" fillId="9" borderId="1" xfId="0" applyNumberFormat="1" applyFont="1" applyFill="1" applyBorder="1" applyAlignment="1">
      <alignment horizontal="left" vertical="center"/>
    </xf>
    <xf numFmtId="0" fontId="8" fillId="9" borderId="10" xfId="0" applyFont="1" applyFill="1" applyBorder="1">
      <alignment vertical="center"/>
    </xf>
    <xf numFmtId="49" fontId="8" fillId="9" borderId="6" xfId="0" applyNumberFormat="1" applyFont="1" applyFill="1" applyBorder="1" applyAlignment="1">
      <alignment horizontal="left" vertical="center"/>
    </xf>
    <xf numFmtId="49" fontId="8" fillId="9" borderId="48" xfId="0" applyNumberFormat="1" applyFont="1" applyFill="1" applyBorder="1" applyAlignment="1">
      <alignment horizontal="left" vertical="center"/>
    </xf>
    <xf numFmtId="0" fontId="8" fillId="9" borderId="46" xfId="0" applyFont="1" applyFill="1" applyBorder="1">
      <alignment vertical="center"/>
    </xf>
    <xf numFmtId="0" fontId="8" fillId="9" borderId="50" xfId="0" applyFont="1" applyFill="1" applyBorder="1">
      <alignment vertical="center"/>
    </xf>
    <xf numFmtId="0" fontId="8" fillId="36" borderId="15" xfId="0" applyFont="1" applyFill="1" applyBorder="1">
      <alignment vertical="center"/>
    </xf>
    <xf numFmtId="0" fontId="8" fillId="36" borderId="11" xfId="0" applyFont="1" applyFill="1" applyBorder="1">
      <alignment vertical="center"/>
    </xf>
    <xf numFmtId="49" fontId="8" fillId="9" borderId="51" xfId="0" applyNumberFormat="1" applyFont="1" applyFill="1" applyBorder="1" applyAlignment="1">
      <alignment vertical="center" wrapText="1"/>
    </xf>
    <xf numFmtId="49" fontId="8" fillId="9" borderId="52" xfId="0" applyNumberFormat="1" applyFont="1" applyFill="1" applyBorder="1" applyAlignment="1">
      <alignment vertical="center" wrapText="1"/>
    </xf>
    <xf numFmtId="49" fontId="8" fillId="9" borderId="35" xfId="0" applyNumberFormat="1" applyFont="1" applyFill="1" applyBorder="1" applyAlignment="1">
      <alignment vertical="center" wrapText="1"/>
    </xf>
    <xf numFmtId="49" fontId="8" fillId="9" borderId="53" xfId="0" applyNumberFormat="1" applyFont="1" applyFill="1" applyBorder="1" applyAlignment="1">
      <alignment vertical="center" wrapText="1"/>
    </xf>
    <xf numFmtId="0" fontId="8" fillId="9" borderId="51" xfId="0" applyFont="1" applyFill="1" applyBorder="1" applyAlignment="1">
      <alignment vertical="center" wrapText="1"/>
    </xf>
    <xf numFmtId="0" fontId="8" fillId="9" borderId="52" xfId="0" applyFont="1" applyFill="1" applyBorder="1" applyAlignment="1">
      <alignment vertical="center" wrapText="1"/>
    </xf>
    <xf numFmtId="0" fontId="8" fillId="9" borderId="35" xfId="0" applyFont="1" applyFill="1" applyBorder="1" applyAlignment="1">
      <alignment vertical="center" wrapText="1"/>
    </xf>
    <xf numFmtId="0" fontId="8" fillId="9" borderId="53" xfId="0" applyFont="1" applyFill="1" applyBorder="1" applyAlignment="1">
      <alignment vertical="center" wrapText="1"/>
    </xf>
    <xf numFmtId="49" fontId="8" fillId="9" borderId="6" xfId="0" applyNumberFormat="1" applyFont="1" applyFill="1" applyBorder="1">
      <alignment vertical="center"/>
    </xf>
    <xf numFmtId="49" fontId="8" fillId="9" borderId="47" xfId="0" applyNumberFormat="1" applyFont="1" applyFill="1" applyBorder="1" applyAlignment="1">
      <alignment vertical="center" wrapText="1"/>
    </xf>
    <xf numFmtId="0" fontId="8" fillId="9" borderId="6" xfId="0" applyFont="1" applyFill="1" applyBorder="1" applyAlignment="1">
      <alignment vertical="center" wrapText="1"/>
    </xf>
    <xf numFmtId="0" fontId="8" fillId="9" borderId="46" xfId="0" applyFont="1" applyFill="1" applyBorder="1" applyAlignment="1">
      <alignment horizontal="left" vertical="center" wrapText="1"/>
    </xf>
    <xf numFmtId="0" fontId="8" fillId="9" borderId="48" xfId="0" applyFont="1" applyFill="1" applyBorder="1" applyAlignment="1">
      <alignment vertical="center" wrapText="1"/>
    </xf>
    <xf numFmtId="0" fontId="8" fillId="9" borderId="50" xfId="0" applyFont="1" applyFill="1" applyBorder="1" applyAlignment="1">
      <alignment horizontal="right" vertical="center" wrapText="1"/>
    </xf>
    <xf numFmtId="0" fontId="8" fillId="34" borderId="48" xfId="0" applyFont="1" applyFill="1" applyBorder="1">
      <alignment vertical="center"/>
    </xf>
    <xf numFmtId="0" fontId="8" fillId="34" borderId="49" xfId="0" applyFont="1" applyFill="1" applyBorder="1">
      <alignment vertical="center"/>
    </xf>
    <xf numFmtId="0" fontId="8" fillId="34" borderId="3" xfId="0" applyFont="1" applyFill="1" applyBorder="1">
      <alignment vertical="center"/>
    </xf>
    <xf numFmtId="0" fontId="8" fillId="34" borderId="51" xfId="0" applyFont="1" applyFill="1" applyBorder="1">
      <alignment vertical="center"/>
    </xf>
    <xf numFmtId="0" fontId="8" fillId="34" borderId="52" xfId="0" applyFont="1" applyFill="1" applyBorder="1">
      <alignment vertical="center"/>
    </xf>
    <xf numFmtId="0" fontId="8" fillId="34" borderId="46" xfId="0" applyFont="1" applyFill="1" applyBorder="1">
      <alignment vertical="center"/>
    </xf>
    <xf numFmtId="49" fontId="8" fillId="34" borderId="46" xfId="0" applyNumberFormat="1" applyFont="1" applyFill="1" applyBorder="1">
      <alignment vertical="center"/>
    </xf>
    <xf numFmtId="0" fontId="8" fillId="34" borderId="35" xfId="0" applyFont="1" applyFill="1" applyBorder="1">
      <alignment vertical="center"/>
    </xf>
    <xf numFmtId="49" fontId="8" fillId="34" borderId="1" xfId="0" applyNumberFormat="1" applyFont="1" applyFill="1" applyBorder="1" applyAlignment="1">
      <alignment horizontal="left" vertical="center"/>
    </xf>
    <xf numFmtId="0" fontId="8" fillId="34" borderId="48" xfId="0" applyFont="1" applyFill="1" applyBorder="1" applyAlignment="1">
      <alignment horizontal="left" vertical="center"/>
    </xf>
    <xf numFmtId="0" fontId="8" fillId="34" borderId="10" xfId="0" applyFont="1" applyFill="1" applyBorder="1" applyAlignment="1">
      <alignment horizontal="left" vertical="center"/>
    </xf>
    <xf numFmtId="0" fontId="8" fillId="34" borderId="50" xfId="0" applyFont="1" applyFill="1" applyBorder="1">
      <alignment vertical="center"/>
    </xf>
    <xf numFmtId="0" fontId="8" fillId="34" borderId="46" xfId="0" applyFont="1" applyFill="1" applyBorder="1" applyAlignment="1">
      <alignment horizontal="left" vertical="center"/>
    </xf>
    <xf numFmtId="49" fontId="8" fillId="34" borderId="15" xfId="0" applyNumberFormat="1" applyFont="1" applyFill="1" applyBorder="1">
      <alignment vertical="center"/>
    </xf>
    <xf numFmtId="49" fontId="8" fillId="34" borderId="46" xfId="0" applyNumberFormat="1" applyFont="1" applyFill="1" applyBorder="1" applyAlignment="1">
      <alignment horizontal="left" vertical="center"/>
    </xf>
    <xf numFmtId="0" fontId="8" fillId="9" borderId="54" xfId="0" applyFont="1" applyFill="1" applyBorder="1">
      <alignment vertical="center"/>
    </xf>
    <xf numFmtId="0" fontId="8" fillId="12" borderId="55" xfId="0" applyFont="1" applyBorder="1">
      <alignment vertical="center"/>
    </xf>
    <xf numFmtId="0" fontId="8" fillId="12" borderId="17" xfId="0" applyFont="1" applyBorder="1">
      <alignment vertical="center"/>
    </xf>
    <xf numFmtId="0" fontId="8" fillId="12" borderId="19" xfId="0" applyFont="1" applyBorder="1">
      <alignment vertical="center"/>
    </xf>
    <xf numFmtId="0" fontId="8" fillId="12" borderId="56" xfId="0" applyFont="1" applyBorder="1" applyAlignment="1">
      <alignment horizontal="center" vertical="center"/>
    </xf>
    <xf numFmtId="0" fontId="8" fillId="12" borderId="49" xfId="0" applyFont="1" applyBorder="1">
      <alignment vertical="center"/>
    </xf>
    <xf numFmtId="0" fontId="8" fillId="12" borderId="48" xfId="0" applyFont="1" applyBorder="1">
      <alignment vertical="center"/>
    </xf>
    <xf numFmtId="0" fontId="8" fillId="34" borderId="57" xfId="0" applyFont="1" applyFill="1" applyBorder="1">
      <alignment vertical="center"/>
    </xf>
    <xf numFmtId="0" fontId="8" fillId="34" borderId="58" xfId="0" applyFont="1" applyFill="1" applyBorder="1">
      <alignment vertical="center"/>
    </xf>
    <xf numFmtId="185" fontId="8" fillId="12" borderId="0" xfId="0" applyNumberFormat="1" applyFont="1">
      <alignment vertical="center"/>
    </xf>
    <xf numFmtId="0" fontId="8" fillId="34" borderId="59" xfId="0" applyFont="1" applyFill="1" applyBorder="1">
      <alignment vertical="center"/>
    </xf>
    <xf numFmtId="49" fontId="8" fillId="34" borderId="51" xfId="0" applyNumberFormat="1" applyFont="1" applyFill="1" applyBorder="1">
      <alignment vertical="center"/>
    </xf>
    <xf numFmtId="49" fontId="8" fillId="34" borderId="6" xfId="0" applyNumberFormat="1" applyFont="1" applyFill="1" applyBorder="1">
      <alignment vertical="center"/>
    </xf>
    <xf numFmtId="49" fontId="8" fillId="34" borderId="35" xfId="0" applyNumberFormat="1" applyFont="1" applyFill="1" applyBorder="1">
      <alignment vertical="center"/>
    </xf>
    <xf numFmtId="49" fontId="8" fillId="34" borderId="48" xfId="0" applyNumberFormat="1" applyFont="1" applyFill="1" applyBorder="1">
      <alignment vertical="center"/>
    </xf>
    <xf numFmtId="0" fontId="10" fillId="34" borderId="0" xfId="0" applyFont="1" applyFill="1">
      <alignment vertical="center"/>
    </xf>
    <xf numFmtId="0" fontId="10" fillId="35" borderId="0" xfId="0" applyFont="1" applyFill="1">
      <alignment vertical="center"/>
    </xf>
    <xf numFmtId="49" fontId="8" fillId="2" borderId="48" xfId="0" applyNumberFormat="1" applyFont="1" applyFill="1" applyBorder="1" applyAlignment="1">
      <alignment vertical="center" shrinkToFit="1"/>
    </xf>
    <xf numFmtId="0" fontId="8" fillId="2" borderId="57" xfId="0" applyFont="1" applyFill="1" applyBorder="1" applyAlignment="1">
      <alignment vertical="center" wrapText="1"/>
    </xf>
    <xf numFmtId="186" fontId="8" fillId="12" borderId="0" xfId="0" applyNumberFormat="1" applyFont="1" applyAlignment="1">
      <alignment horizontal="center" vertical="center"/>
    </xf>
    <xf numFmtId="0" fontId="8" fillId="11" borderId="54" xfId="0" applyFont="1" applyFill="1" applyBorder="1" applyAlignment="1">
      <alignment vertical="center" wrapText="1"/>
    </xf>
    <xf numFmtId="178" fontId="8" fillId="12" borderId="0" xfId="0" applyNumberFormat="1" applyFont="1" applyAlignment="1">
      <alignment horizontal="left" vertical="center"/>
    </xf>
    <xf numFmtId="49" fontId="8" fillId="11" borderId="6" xfId="0" applyNumberFormat="1" applyFont="1" applyFill="1" applyBorder="1" applyAlignment="1">
      <alignment vertical="center" wrapText="1"/>
    </xf>
    <xf numFmtId="0" fontId="41" fillId="0" borderId="0" xfId="65" applyFont="1" applyProtection="1">
      <alignment vertical="center"/>
      <protection locked="0"/>
    </xf>
    <xf numFmtId="49" fontId="41" fillId="0" borderId="0" xfId="65" applyNumberFormat="1" applyFont="1" applyProtection="1">
      <alignment vertical="center"/>
      <protection locked="0"/>
    </xf>
    <xf numFmtId="0" fontId="8" fillId="2" borderId="49" xfId="0" applyFont="1" applyFill="1" applyBorder="1" applyAlignment="1">
      <alignment vertical="center" shrinkToFit="1"/>
    </xf>
    <xf numFmtId="49" fontId="8" fillId="34" borderId="51" xfId="0" applyNumberFormat="1" applyFont="1" applyFill="1" applyBorder="1" applyAlignment="1">
      <alignment horizontal="left" vertical="center"/>
    </xf>
    <xf numFmtId="49" fontId="8" fillId="34" borderId="52" xfId="0" applyNumberFormat="1" applyFont="1" applyFill="1" applyBorder="1" applyAlignment="1">
      <alignment horizontal="left" vertical="center"/>
    </xf>
    <xf numFmtId="0" fontId="40" fillId="34" borderId="48" xfId="0" applyFont="1" applyFill="1" applyBorder="1">
      <alignment vertical="center"/>
    </xf>
    <xf numFmtId="0" fontId="8" fillId="36" borderId="6" xfId="0" applyFont="1" applyFill="1" applyBorder="1" applyAlignment="1">
      <alignment vertical="center" wrapText="1"/>
    </xf>
    <xf numFmtId="0" fontId="8" fillId="36" borderId="47" xfId="0" applyFont="1" applyFill="1" applyBorder="1" applyAlignment="1">
      <alignment vertical="center" wrapText="1"/>
    </xf>
    <xf numFmtId="0" fontId="8" fillId="12" borderId="6" xfId="0" applyFont="1" applyBorder="1" applyAlignment="1">
      <alignment vertical="center" wrapText="1"/>
    </xf>
    <xf numFmtId="0" fontId="8" fillId="12" borderId="47" xfId="0" applyFont="1" applyBorder="1" applyAlignment="1">
      <alignment vertical="center" wrapText="1"/>
    </xf>
    <xf numFmtId="0" fontId="0" fillId="12" borderId="0" xfId="0" applyAlignment="1">
      <alignment horizontal="left" vertical="center"/>
    </xf>
    <xf numFmtId="0" fontId="8" fillId="34" borderId="60" xfId="0" applyFont="1" applyFill="1" applyBorder="1" applyAlignment="1">
      <alignment vertical="center" wrapText="1"/>
    </xf>
    <xf numFmtId="0" fontId="8" fillId="34" borderId="47" xfId="0" applyFont="1" applyFill="1" applyBorder="1" applyAlignment="1">
      <alignment horizontal="left" vertical="center" wrapText="1"/>
    </xf>
    <xf numFmtId="176" fontId="0" fillId="12" borderId="0" xfId="0" applyNumberFormat="1" applyAlignment="1">
      <alignment horizontal="left" vertical="center"/>
    </xf>
    <xf numFmtId="0" fontId="8" fillId="2" borderId="60" xfId="0" applyFont="1" applyFill="1" applyBorder="1" applyAlignment="1">
      <alignment vertical="center" wrapText="1"/>
    </xf>
    <xf numFmtId="0" fontId="8" fillId="9" borderId="2" xfId="0" applyFont="1" applyFill="1" applyBorder="1" applyAlignment="1">
      <alignment vertical="center" wrapText="1"/>
    </xf>
    <xf numFmtId="0" fontId="8" fillId="9" borderId="4" xfId="0" applyFont="1" applyFill="1" applyBorder="1" applyAlignment="1">
      <alignment vertical="center" wrapText="1"/>
    </xf>
    <xf numFmtId="0" fontId="8" fillId="34" borderId="60" xfId="0" applyFont="1" applyFill="1" applyBorder="1">
      <alignment vertical="center"/>
    </xf>
    <xf numFmtId="0" fontId="8" fillId="34" borderId="4" xfId="0" applyFont="1" applyFill="1" applyBorder="1">
      <alignment vertical="center"/>
    </xf>
    <xf numFmtId="0" fontId="8" fillId="34" borderId="2" xfId="0" applyFont="1" applyFill="1" applyBorder="1" applyAlignment="1">
      <alignment vertical="center" wrapText="1"/>
    </xf>
    <xf numFmtId="49" fontId="8" fillId="9" borderId="60" xfId="0" applyNumberFormat="1" applyFont="1" applyFill="1" applyBorder="1">
      <alignment vertical="center"/>
    </xf>
    <xf numFmtId="0" fontId="8" fillId="9" borderId="4" xfId="0" applyFont="1" applyFill="1" applyBorder="1">
      <alignment vertical="center"/>
    </xf>
    <xf numFmtId="0" fontId="8" fillId="9" borderId="7" xfId="0" applyFont="1" applyFill="1" applyBorder="1" applyAlignment="1">
      <alignment vertical="center" wrapText="1"/>
    </xf>
    <xf numFmtId="0" fontId="8" fillId="34" borderId="61" xfId="0" applyFont="1" applyFill="1" applyBorder="1" applyAlignment="1">
      <alignment horizontal="left" vertical="center" wrapText="1"/>
    </xf>
    <xf numFmtId="0" fontId="8" fillId="9" borderId="60" xfId="0" applyFont="1" applyFill="1" applyBorder="1">
      <alignment vertical="center"/>
    </xf>
    <xf numFmtId="0" fontId="8" fillId="9" borderId="47" xfId="0" applyFont="1" applyFill="1" applyBorder="1" applyAlignment="1">
      <alignment vertical="center" wrapText="1"/>
    </xf>
    <xf numFmtId="49" fontId="8" fillId="34" borderId="60" xfId="0" applyNumberFormat="1" applyFont="1" applyFill="1" applyBorder="1" applyAlignment="1">
      <alignment horizontal="left" vertical="center"/>
    </xf>
    <xf numFmtId="0" fontId="8" fillId="9" borderId="60" xfId="0" applyFont="1" applyFill="1" applyBorder="1" applyAlignment="1">
      <alignment vertical="center" wrapText="1"/>
    </xf>
    <xf numFmtId="0" fontId="8" fillId="9" borderId="54" xfId="0" applyFont="1" applyFill="1" applyBorder="1" applyAlignment="1">
      <alignment horizontal="left" vertical="center" wrapText="1"/>
    </xf>
    <xf numFmtId="180" fontId="8" fillId="34" borderId="0" xfId="0" applyNumberFormat="1" applyFont="1" applyFill="1" applyAlignment="1">
      <alignment horizontal="left" vertical="center"/>
    </xf>
    <xf numFmtId="49" fontId="8" fillId="34" borderId="0" xfId="0" applyNumberFormat="1" applyFont="1" applyFill="1" applyAlignment="1">
      <alignment horizontal="left" vertical="center"/>
    </xf>
    <xf numFmtId="49" fontId="8" fillId="34" borderId="0" xfId="0" applyNumberFormat="1" applyFont="1" applyFill="1">
      <alignment vertical="center"/>
    </xf>
    <xf numFmtId="176" fontId="8" fillId="34" borderId="0" xfId="0" applyNumberFormat="1" applyFont="1" applyFill="1" applyAlignment="1">
      <alignment horizontal="left" vertical="center"/>
    </xf>
    <xf numFmtId="0" fontId="8" fillId="9" borderId="0" xfId="0" applyFont="1" applyFill="1" applyAlignment="1">
      <alignment horizontal="left" vertical="center"/>
    </xf>
    <xf numFmtId="0" fontId="0" fillId="9" borderId="0" xfId="0" applyFill="1" applyAlignment="1">
      <alignment horizontal="left" vertical="center"/>
    </xf>
    <xf numFmtId="180" fontId="8" fillId="9" borderId="0" xfId="0" applyNumberFormat="1" applyFont="1" applyFill="1" applyAlignment="1">
      <alignment horizontal="left" vertical="center"/>
    </xf>
    <xf numFmtId="0" fontId="8" fillId="11" borderId="0" xfId="0" applyFont="1" applyFill="1" applyAlignment="1">
      <alignment horizontal="left" vertical="center"/>
    </xf>
    <xf numFmtId="0" fontId="8" fillId="34" borderId="0" xfId="0" applyFont="1" applyFill="1" applyAlignment="1">
      <alignment horizontal="left" vertical="center" wrapText="1"/>
    </xf>
    <xf numFmtId="49" fontId="8" fillId="11" borderId="0" xfId="0" applyNumberFormat="1" applyFont="1" applyFill="1" applyAlignment="1">
      <alignment horizontal="left" vertical="center"/>
    </xf>
    <xf numFmtId="49" fontId="41" fillId="34" borderId="0" xfId="65" applyNumberFormat="1" applyFont="1" applyFill="1" applyProtection="1">
      <alignment vertical="center"/>
      <protection locked="0"/>
    </xf>
    <xf numFmtId="49" fontId="20" fillId="34" borderId="0" xfId="65" applyNumberFormat="1" applyFont="1" applyFill="1" applyProtection="1">
      <alignment vertical="center"/>
      <protection locked="0"/>
    </xf>
    <xf numFmtId="0" fontId="40" fillId="34" borderId="0" xfId="0" applyFont="1" applyFill="1">
      <alignment vertical="center"/>
    </xf>
    <xf numFmtId="0" fontId="41" fillId="34" borderId="0" xfId="65" applyFont="1" applyFill="1" applyProtection="1">
      <alignment vertical="center"/>
      <protection locked="0"/>
    </xf>
    <xf numFmtId="49" fontId="8" fillId="34" borderId="0" xfId="0" applyNumberFormat="1" applyFont="1" applyFill="1" applyAlignment="1">
      <alignment horizontal="left" vertical="top"/>
    </xf>
    <xf numFmtId="0" fontId="8" fillId="34" borderId="0" xfId="0" applyFont="1" applyFill="1" applyAlignment="1">
      <alignment horizontal="left" vertical="top"/>
    </xf>
    <xf numFmtId="178" fontId="8" fillId="11" borderId="0" xfId="0" applyNumberFormat="1" applyFont="1" applyFill="1" applyAlignment="1">
      <alignment horizontal="left" vertical="center"/>
    </xf>
    <xf numFmtId="179" fontId="8" fillId="11" borderId="0" xfId="0" applyNumberFormat="1" applyFont="1" applyFill="1" applyAlignment="1">
      <alignment horizontal="left" vertical="center"/>
    </xf>
    <xf numFmtId="178" fontId="8" fillId="34" borderId="0" xfId="0" applyNumberFormat="1" applyFont="1" applyFill="1" applyAlignment="1">
      <alignment horizontal="left" vertical="center"/>
    </xf>
    <xf numFmtId="177" fontId="8" fillId="34" borderId="0" xfId="0" applyNumberFormat="1" applyFont="1" applyFill="1" applyAlignment="1">
      <alignment horizontal="left" vertical="center"/>
    </xf>
    <xf numFmtId="181" fontId="8" fillId="34" borderId="0" xfId="0" applyNumberFormat="1" applyFont="1" applyFill="1" applyAlignment="1">
      <alignment horizontal="left" vertical="center"/>
    </xf>
    <xf numFmtId="187" fontId="8" fillId="34" borderId="0" xfId="0" applyNumberFormat="1" applyFont="1" applyFill="1" applyAlignment="1">
      <alignment horizontal="left" vertical="center"/>
    </xf>
    <xf numFmtId="185" fontId="8" fillId="34" borderId="0" xfId="0" applyNumberFormat="1" applyFont="1" applyFill="1">
      <alignment vertical="center"/>
    </xf>
    <xf numFmtId="177" fontId="8" fillId="34" borderId="0" xfId="0" applyNumberFormat="1" applyFont="1" applyFill="1">
      <alignment vertical="center"/>
    </xf>
    <xf numFmtId="187" fontId="8" fillId="34" borderId="0" xfId="0" applyNumberFormat="1" applyFont="1" applyFill="1">
      <alignment vertical="center"/>
    </xf>
    <xf numFmtId="187" fontId="8" fillId="8" borderId="0" xfId="0" applyNumberFormat="1" applyFont="1" applyFill="1" applyAlignment="1">
      <alignment horizontal="left" vertical="center"/>
    </xf>
    <xf numFmtId="49" fontId="8" fillId="2" borderId="60" xfId="0" applyNumberFormat="1" applyFont="1" applyFill="1" applyBorder="1" applyAlignment="1">
      <alignment vertical="center" shrinkToFit="1"/>
    </xf>
    <xf numFmtId="0" fontId="8" fillId="2" borderId="34" xfId="0" applyFont="1" applyFill="1" applyBorder="1" applyAlignment="1">
      <alignment vertical="center" shrinkToFit="1"/>
    </xf>
    <xf numFmtId="0" fontId="8" fillId="2" borderId="16" xfId="0" applyFont="1" applyFill="1" applyBorder="1" applyAlignment="1">
      <alignment vertical="center" shrinkToFit="1"/>
    </xf>
    <xf numFmtId="0" fontId="15" fillId="12" borderId="21" xfId="0" applyFont="1" applyBorder="1">
      <alignment vertical="center"/>
    </xf>
    <xf numFmtId="0" fontId="15" fillId="3" borderId="0" xfId="0" applyFont="1" applyFill="1" applyAlignment="1" applyProtection="1">
      <alignment horizontal="right" vertical="center"/>
      <protection locked="0" hidden="1"/>
    </xf>
    <xf numFmtId="0" fontId="15" fillId="3" borderId="21" xfId="0" applyFont="1" applyFill="1" applyBorder="1" applyAlignment="1" applyProtection="1">
      <alignment horizontal="right" vertical="center"/>
      <protection locked="0" hidden="1"/>
    </xf>
    <xf numFmtId="0" fontId="18" fillId="0" borderId="0" xfId="129" applyFont="1">
      <alignment vertical="center"/>
    </xf>
    <xf numFmtId="0" fontId="18" fillId="0" borderId="0" xfId="129" applyFont="1" applyAlignment="1">
      <alignment horizontal="left" vertical="center"/>
    </xf>
    <xf numFmtId="0" fontId="14" fillId="12" borderId="0" xfId="0" applyFont="1">
      <alignment vertical="center"/>
    </xf>
    <xf numFmtId="182" fontId="13" fillId="3" borderId="0" xfId="0" applyNumberFormat="1" applyFont="1" applyFill="1" applyAlignment="1" applyProtection="1">
      <alignment horizontal="center" vertical="center" shrinkToFit="1"/>
      <protection locked="0" hidden="1"/>
    </xf>
    <xf numFmtId="183" fontId="13" fillId="3" borderId="0" xfId="0" applyNumberFormat="1" applyFont="1" applyFill="1" applyAlignment="1" applyProtection="1">
      <alignment horizontal="center" vertical="center" shrinkToFit="1"/>
      <protection locked="0" hidden="1"/>
    </xf>
    <xf numFmtId="182" fontId="15" fillId="3" borderId="0" xfId="0" applyNumberFormat="1" applyFont="1" applyFill="1" applyAlignment="1" applyProtection="1">
      <alignment horizontal="center" vertical="center" shrinkToFit="1"/>
      <protection locked="0"/>
    </xf>
    <xf numFmtId="183" fontId="15" fillId="3" borderId="0" xfId="0" applyNumberFormat="1" applyFont="1" applyFill="1" applyAlignment="1" applyProtection="1">
      <alignment horizontal="center" vertical="center" shrinkToFit="1"/>
      <protection locked="0"/>
    </xf>
    <xf numFmtId="184" fontId="15" fillId="3" borderId="0" xfId="0" applyNumberFormat="1" applyFont="1" applyFill="1" applyAlignment="1" applyProtection="1">
      <alignment horizontal="center" vertical="center" shrinkToFit="1"/>
      <protection locked="0"/>
    </xf>
    <xf numFmtId="184" fontId="13" fillId="3" borderId="0" xfId="0" applyNumberFormat="1" applyFont="1" applyFill="1" applyAlignment="1" applyProtection="1">
      <alignment horizontal="center" vertical="center" shrinkToFit="1"/>
      <protection locked="0" hidden="1"/>
    </xf>
    <xf numFmtId="0" fontId="8" fillId="11" borderId="60" xfId="0" applyFont="1" applyFill="1" applyBorder="1">
      <alignment vertical="center"/>
    </xf>
    <xf numFmtId="0" fontId="8" fillId="11" borderId="54" xfId="0" applyFont="1" applyFill="1" applyBorder="1">
      <alignment vertical="center"/>
    </xf>
    <xf numFmtId="0" fontId="8" fillId="11" borderId="60" xfId="0" applyFont="1" applyFill="1" applyBorder="1" applyAlignment="1">
      <alignment vertical="center" wrapText="1"/>
    </xf>
    <xf numFmtId="0" fontId="8" fillId="34" borderId="31" xfId="0" applyFont="1" applyFill="1" applyBorder="1">
      <alignment vertical="center"/>
    </xf>
    <xf numFmtId="49" fontId="8" fillId="2" borderId="57" xfId="0" applyNumberFormat="1" applyFont="1" applyFill="1" applyBorder="1" applyAlignment="1">
      <alignment vertical="center" wrapText="1"/>
    </xf>
    <xf numFmtId="0" fontId="8" fillId="34" borderId="57" xfId="0" applyFont="1" applyFill="1" applyBorder="1" applyAlignment="1">
      <alignment vertical="center" wrapText="1"/>
    </xf>
    <xf numFmtId="0" fontId="14" fillId="12" borderId="21" xfId="0" applyFont="1" applyBorder="1">
      <alignment vertical="center"/>
    </xf>
    <xf numFmtId="0" fontId="14" fillId="12" borderId="0" xfId="0" applyFont="1" applyAlignment="1"/>
    <xf numFmtId="0" fontId="8" fillId="11" borderId="62" xfId="0" applyFont="1" applyFill="1" applyBorder="1">
      <alignment vertical="center"/>
    </xf>
    <xf numFmtId="0" fontId="8" fillId="11" borderId="63" xfId="0" applyFont="1" applyFill="1" applyBorder="1">
      <alignment vertical="center"/>
    </xf>
    <xf numFmtId="0" fontId="8" fillId="11" borderId="37" xfId="0" applyFont="1" applyFill="1" applyBorder="1">
      <alignment vertical="center"/>
    </xf>
    <xf numFmtId="0" fontId="8" fillId="11" borderId="16" xfId="0" applyFont="1" applyFill="1" applyBorder="1" applyAlignment="1">
      <alignment vertical="center" wrapText="1"/>
    </xf>
    <xf numFmtId="0" fontId="8" fillId="11" borderId="57" xfId="0" applyFont="1" applyFill="1" applyBorder="1" applyAlignment="1">
      <alignment vertical="center" wrapText="1"/>
    </xf>
    <xf numFmtId="0" fontId="15" fillId="12" borderId="0" xfId="0" applyFont="1" applyAlignment="1">
      <alignment horizontal="right" vertical="center"/>
    </xf>
    <xf numFmtId="0" fontId="15" fillId="12" borderId="0" xfId="0" applyFont="1" applyAlignment="1">
      <alignment horizontal="left" vertical="center"/>
    </xf>
    <xf numFmtId="0" fontId="15" fillId="12" borderId="21" xfId="0" applyFont="1" applyBorder="1" applyAlignment="1">
      <alignment horizontal="right" vertical="center"/>
    </xf>
    <xf numFmtId="0" fontId="18" fillId="0" borderId="0" xfId="129" applyFont="1" applyAlignment="1">
      <alignment horizontal="center" vertical="center"/>
    </xf>
    <xf numFmtId="189" fontId="18" fillId="0" borderId="0" xfId="129" applyNumberFormat="1" applyFont="1">
      <alignment vertical="center"/>
    </xf>
    <xf numFmtId="190" fontId="18" fillId="0" borderId="0" xfId="129" applyNumberFormat="1" applyFont="1" applyAlignment="1">
      <alignment horizontal="left" vertical="center"/>
    </xf>
    <xf numFmtId="0" fontId="11" fillId="4" borderId="66" xfId="0" applyFont="1" applyFill="1" applyBorder="1" applyAlignment="1" applyProtection="1">
      <alignment horizontal="center" vertical="center"/>
      <protection locked="0" hidden="1"/>
    </xf>
    <xf numFmtId="0" fontId="12" fillId="5" borderId="66" xfId="0" applyFont="1" applyFill="1" applyBorder="1" applyAlignment="1" applyProtection="1">
      <alignment horizontal="right" vertical="center"/>
      <protection locked="0" hidden="1"/>
    </xf>
    <xf numFmtId="0" fontId="12" fillId="3" borderId="66" xfId="0" applyFont="1" applyFill="1" applyBorder="1" applyProtection="1">
      <alignment vertical="center"/>
      <protection locked="0" hidden="1"/>
    </xf>
    <xf numFmtId="0" fontId="15" fillId="12" borderId="65" xfId="0" applyFont="1" applyBorder="1">
      <alignment vertical="center"/>
    </xf>
    <xf numFmtId="0" fontId="15" fillId="3" borderId="65" xfId="0" applyFont="1" applyFill="1" applyBorder="1" applyAlignment="1" applyProtection="1">
      <alignment horizontal="right" vertical="center"/>
      <protection locked="0" hidden="1"/>
    </xf>
    <xf numFmtId="0" fontId="18" fillId="8" borderId="0" xfId="129" applyFont="1" applyFill="1" applyAlignment="1">
      <alignment horizontal="center" vertical="center"/>
    </xf>
    <xf numFmtId="0" fontId="18" fillId="9" borderId="0" xfId="129" applyFont="1" applyFill="1">
      <alignment vertical="center"/>
    </xf>
    <xf numFmtId="0" fontId="18" fillId="37" borderId="0" xfId="129" applyFont="1" applyFill="1" applyAlignment="1">
      <alignment horizontal="center" vertical="center"/>
    </xf>
    <xf numFmtId="0" fontId="15" fillId="5" borderId="0" xfId="0" applyFont="1" applyFill="1" applyAlignment="1" applyProtection="1">
      <alignment horizontal="center" vertical="center"/>
      <protection locked="0" hidden="1"/>
    </xf>
    <xf numFmtId="0" fontId="15" fillId="5" borderId="21" xfId="0" applyFont="1" applyFill="1" applyBorder="1" applyAlignment="1" applyProtection="1">
      <alignment horizontal="center" vertical="center"/>
      <protection locked="0" hidden="1"/>
    </xf>
    <xf numFmtId="0" fontId="15" fillId="12" borderId="0" xfId="0" applyFont="1">
      <alignment vertical="center"/>
    </xf>
    <xf numFmtId="0" fontId="15" fillId="12" borderId="0" xfId="0" applyFont="1" applyAlignment="1">
      <alignment horizontal="center" vertical="center"/>
    </xf>
    <xf numFmtId="182" fontId="15" fillId="3" borderId="0" xfId="0" applyNumberFormat="1" applyFont="1" applyFill="1" applyAlignment="1" applyProtection="1">
      <alignment horizontal="center" vertical="center" shrinkToFit="1"/>
      <protection locked="0" hidden="1"/>
    </xf>
    <xf numFmtId="183" fontId="15" fillId="3" borderId="0" xfId="0" applyNumberFormat="1" applyFont="1" applyFill="1" applyAlignment="1" applyProtection="1">
      <alignment horizontal="center" vertical="center" shrinkToFit="1"/>
      <protection locked="0" hidden="1"/>
    </xf>
    <xf numFmtId="184" fontId="15" fillId="3" borderId="0" xfId="0" applyNumberFormat="1" applyFont="1" applyFill="1" applyAlignment="1" applyProtection="1">
      <alignment horizontal="center" vertical="center" shrinkToFit="1"/>
      <protection locked="0" hidden="1"/>
    </xf>
    <xf numFmtId="182" fontId="15" fillId="3" borderId="21" xfId="0" applyNumberFormat="1" applyFont="1" applyFill="1" applyBorder="1" applyAlignment="1" applyProtection="1">
      <alignment horizontal="center" vertical="center" shrinkToFit="1"/>
      <protection locked="0" hidden="1"/>
    </xf>
    <xf numFmtId="183" fontId="15" fillId="3" borderId="21" xfId="0" applyNumberFormat="1" applyFont="1" applyFill="1" applyBorder="1" applyAlignment="1" applyProtection="1">
      <alignment horizontal="center" vertical="center" shrinkToFit="1"/>
      <protection locked="0" hidden="1"/>
    </xf>
    <xf numFmtId="184" fontId="15" fillId="3" borderId="21" xfId="0" applyNumberFormat="1" applyFont="1" applyFill="1" applyBorder="1" applyAlignment="1" applyProtection="1">
      <alignment horizontal="center" vertical="center" shrinkToFit="1"/>
      <protection locked="0" hidden="1"/>
    </xf>
    <xf numFmtId="0" fontId="19" fillId="0" borderId="0" xfId="106" applyFont="1">
      <alignment vertical="center"/>
    </xf>
    <xf numFmtId="0" fontId="19" fillId="0" borderId="67" xfId="106" applyFont="1" applyBorder="1">
      <alignment vertical="center"/>
    </xf>
    <xf numFmtId="0" fontId="19" fillId="0" borderId="68" xfId="106" applyFont="1" applyBorder="1">
      <alignment vertical="center"/>
    </xf>
    <xf numFmtId="0" fontId="19" fillId="0" borderId="69" xfId="106" applyFont="1" applyBorder="1">
      <alignment vertical="center"/>
    </xf>
    <xf numFmtId="0" fontId="19" fillId="0" borderId="70" xfId="106" applyFont="1" applyBorder="1">
      <alignment vertical="center"/>
    </xf>
    <xf numFmtId="0" fontId="19" fillId="0" borderId="71" xfId="106" applyFont="1" applyBorder="1">
      <alignment vertical="center"/>
    </xf>
    <xf numFmtId="0" fontId="19" fillId="0" borderId="72" xfId="106" applyFont="1" applyBorder="1">
      <alignment vertical="center"/>
    </xf>
    <xf numFmtId="0" fontId="19" fillId="0" borderId="59" xfId="106" applyFont="1" applyBorder="1">
      <alignment vertical="center"/>
    </xf>
    <xf numFmtId="0" fontId="19" fillId="0" borderId="73" xfId="106" applyFont="1" applyBorder="1">
      <alignment vertical="center"/>
    </xf>
    <xf numFmtId="0" fontId="19" fillId="0" borderId="74" xfId="106" applyFont="1" applyBorder="1">
      <alignment vertical="center"/>
    </xf>
    <xf numFmtId="0" fontId="19" fillId="0" borderId="75" xfId="106" applyFont="1" applyBorder="1">
      <alignment vertical="center"/>
    </xf>
    <xf numFmtId="0" fontId="19" fillId="0" borderId="11" xfId="106" applyFont="1" applyBorder="1">
      <alignment vertical="center"/>
    </xf>
    <xf numFmtId="0" fontId="19" fillId="0" borderId="76" xfId="106" applyFont="1" applyBorder="1">
      <alignment vertical="center"/>
    </xf>
    <xf numFmtId="0" fontId="19" fillId="0" borderId="77" xfId="106" applyFont="1" applyBorder="1" applyAlignment="1">
      <alignment horizontal="centerContinuous" vertical="center"/>
    </xf>
    <xf numFmtId="0" fontId="19" fillId="0" borderId="78" xfId="106" applyFont="1" applyBorder="1" applyAlignment="1">
      <alignment horizontal="centerContinuous" vertical="center"/>
    </xf>
    <xf numFmtId="0" fontId="19" fillId="0" borderId="7" xfId="106" applyFont="1" applyBorder="1" applyAlignment="1">
      <alignment horizontal="centerContinuous" vertical="center"/>
    </xf>
    <xf numFmtId="0" fontId="19" fillId="0" borderId="79" xfId="106" applyFont="1" applyBorder="1" applyAlignment="1">
      <alignment horizontal="centerContinuous" vertical="center"/>
    </xf>
    <xf numFmtId="0" fontId="19" fillId="0" borderId="7" xfId="106" applyFont="1" applyBorder="1">
      <alignment vertical="center"/>
    </xf>
    <xf numFmtId="0" fontId="19" fillId="0" borderId="78" xfId="106" applyFont="1" applyBorder="1">
      <alignment vertical="center"/>
    </xf>
    <xf numFmtId="0" fontId="19" fillId="0" borderId="49" xfId="106" applyFont="1" applyBorder="1">
      <alignment vertical="center"/>
    </xf>
    <xf numFmtId="0" fontId="19" fillId="0" borderId="21" xfId="106" applyFont="1" applyBorder="1">
      <alignment vertical="center"/>
    </xf>
    <xf numFmtId="0" fontId="19" fillId="0" borderId="47" xfId="106" applyFont="1" applyBorder="1">
      <alignment vertical="center"/>
    </xf>
    <xf numFmtId="0" fontId="45" fillId="0" borderId="0" xfId="106" applyFont="1" applyAlignment="1">
      <alignment horizontal="left" vertical="center" indent="1"/>
    </xf>
    <xf numFmtId="0" fontId="19" fillId="0" borderId="0" xfId="106" applyFont="1" applyAlignment="1">
      <alignment horizontal="centerContinuous" vertical="center"/>
    </xf>
    <xf numFmtId="0" fontId="18" fillId="0" borderId="0" xfId="106" applyFont="1" applyAlignment="1">
      <alignment horizontal="centerContinuous" vertical="center"/>
    </xf>
    <xf numFmtId="0" fontId="46" fillId="0" borderId="0" xfId="106" applyFont="1" applyAlignment="1">
      <alignment horizontal="centerContinuous" vertical="center"/>
    </xf>
    <xf numFmtId="0" fontId="19" fillId="0" borderId="91" xfId="106" applyFont="1" applyBorder="1">
      <alignment vertical="center"/>
    </xf>
    <xf numFmtId="0" fontId="19" fillId="0" borderId="92" xfId="106" applyFont="1" applyBorder="1">
      <alignment vertical="center"/>
    </xf>
    <xf numFmtId="0" fontId="19" fillId="0" borderId="93" xfId="106" applyFont="1" applyBorder="1">
      <alignment vertical="center"/>
    </xf>
    <xf numFmtId="0" fontId="19" fillId="0" borderId="94" xfId="106" applyFont="1" applyBorder="1">
      <alignment vertical="center"/>
    </xf>
    <xf numFmtId="0" fontId="19" fillId="0" borderId="15" xfId="106" applyFont="1" applyBorder="1">
      <alignment vertical="center"/>
    </xf>
    <xf numFmtId="0" fontId="19" fillId="0" borderId="3" xfId="106" applyFont="1" applyBorder="1" applyAlignment="1">
      <alignment horizontal="centerContinuous" vertical="center"/>
    </xf>
    <xf numFmtId="49" fontId="19" fillId="9" borderId="0" xfId="106" applyNumberFormat="1" applyFont="1" applyFill="1" applyAlignment="1">
      <alignment horizontal="center" vertical="center"/>
    </xf>
    <xf numFmtId="0" fontId="19" fillId="9" borderId="0" xfId="106" applyFont="1" applyFill="1">
      <alignment vertical="center"/>
    </xf>
    <xf numFmtId="0" fontId="19" fillId="9" borderId="0" xfId="106" applyFont="1" applyFill="1" applyAlignment="1">
      <alignment vertical="center" shrinkToFit="1"/>
    </xf>
    <xf numFmtId="0" fontId="19" fillId="9" borderId="1" xfId="106" applyFont="1" applyFill="1" applyBorder="1" applyAlignment="1">
      <alignment vertical="center" shrinkToFit="1"/>
    </xf>
    <xf numFmtId="0" fontId="19" fillId="9" borderId="83" xfId="106" applyFont="1" applyFill="1" applyBorder="1" applyAlignment="1">
      <alignment vertical="center" shrinkToFit="1"/>
    </xf>
    <xf numFmtId="0" fontId="19" fillId="9" borderId="85" xfId="106" applyFont="1" applyFill="1" applyBorder="1" applyAlignment="1">
      <alignment vertical="center" shrinkToFit="1"/>
    </xf>
    <xf numFmtId="0" fontId="19" fillId="9" borderId="60" xfId="106" applyFont="1" applyFill="1" applyBorder="1" applyAlignment="1">
      <alignment vertical="center" shrinkToFit="1"/>
    </xf>
    <xf numFmtId="0" fontId="19" fillId="9" borderId="82" xfId="106" applyFont="1" applyFill="1" applyBorder="1" applyAlignment="1">
      <alignment vertical="center" shrinkToFit="1"/>
    </xf>
    <xf numFmtId="0" fontId="19" fillId="9" borderId="48" xfId="106" applyFont="1" applyFill="1" applyBorder="1" applyAlignment="1">
      <alignment vertical="center" shrinkToFit="1"/>
    </xf>
    <xf numFmtId="0" fontId="19" fillId="9" borderId="21" xfId="106" applyFont="1" applyFill="1" applyBorder="1" applyAlignment="1">
      <alignment vertical="center" shrinkToFit="1"/>
    </xf>
    <xf numFmtId="0" fontId="19" fillId="9" borderId="80" xfId="106" applyFont="1" applyFill="1" applyBorder="1" applyAlignment="1">
      <alignment vertical="center" shrinkToFit="1"/>
    </xf>
    <xf numFmtId="0" fontId="14" fillId="0" borderId="0" xfId="107" applyFont="1"/>
    <xf numFmtId="0" fontId="47" fillId="0" borderId="0" xfId="107" applyFont="1"/>
    <xf numFmtId="0" fontId="14" fillId="39" borderId="0" xfId="107" applyFont="1" applyFill="1" applyAlignment="1">
      <alignment horizontal="center"/>
    </xf>
    <xf numFmtId="0" fontId="47" fillId="0" borderId="0" xfId="107" applyFont="1" applyProtection="1">
      <protection hidden="1"/>
    </xf>
    <xf numFmtId="0" fontId="15" fillId="0" borderId="49" xfId="107" applyFont="1" applyBorder="1" applyAlignment="1">
      <alignment horizontal="right"/>
    </xf>
    <xf numFmtId="0" fontId="15" fillId="0" borderId="21" xfId="107" applyFont="1" applyBorder="1"/>
    <xf numFmtId="0" fontId="15" fillId="0" borderId="21" xfId="107" applyFont="1" applyBorder="1" applyAlignment="1">
      <alignment horizontal="right"/>
    </xf>
    <xf numFmtId="0" fontId="15" fillId="0" borderId="48" xfId="107" applyFont="1" applyBorder="1" applyAlignment="1">
      <alignment horizontal="right"/>
    </xf>
    <xf numFmtId="0" fontId="14" fillId="0" borderId="49" xfId="107" applyFont="1" applyBorder="1"/>
    <xf numFmtId="0" fontId="14" fillId="0" borderId="21" xfId="107" applyFont="1" applyBorder="1"/>
    <xf numFmtId="0" fontId="14" fillId="0" borderId="48" xfId="107" applyFont="1" applyBorder="1"/>
    <xf numFmtId="0" fontId="15" fillId="0" borderId="10" xfId="107" applyFont="1" applyBorder="1" applyAlignment="1">
      <alignment horizontal="right"/>
    </xf>
    <xf numFmtId="0" fontId="15" fillId="0" borderId="83" xfId="107" applyFont="1" applyBorder="1" applyAlignment="1">
      <alignment horizontal="right"/>
    </xf>
    <xf numFmtId="0" fontId="15" fillId="0" borderId="1" xfId="107" applyFont="1" applyBorder="1" applyAlignment="1">
      <alignment horizontal="right"/>
    </xf>
    <xf numFmtId="0" fontId="15" fillId="0" borderId="0" xfId="107" applyFont="1"/>
    <xf numFmtId="0" fontId="14" fillId="0" borderId="47" xfId="107" applyFont="1" applyBorder="1"/>
    <xf numFmtId="0" fontId="14" fillId="0" borderId="60" xfId="107" applyFont="1" applyBorder="1"/>
    <xf numFmtId="58" fontId="15" fillId="0" borderId="0" xfId="107" applyNumberFormat="1" applyFont="1" applyAlignment="1">
      <alignment horizontal="center" vertical="center"/>
    </xf>
    <xf numFmtId="0" fontId="15" fillId="0" borderId="47" xfId="107" applyFont="1" applyBorder="1"/>
    <xf numFmtId="0" fontId="48" fillId="0" borderId="47" xfId="107" applyFont="1" applyBorder="1"/>
    <xf numFmtId="0" fontId="48" fillId="0" borderId="0" xfId="107" applyFont="1"/>
    <xf numFmtId="0" fontId="48" fillId="0" borderId="60" xfId="107" applyFont="1" applyBorder="1"/>
    <xf numFmtId="0" fontId="15" fillId="0" borderId="47" xfId="107" applyFont="1" applyBorder="1" applyAlignment="1">
      <alignment horizontal="center"/>
    </xf>
    <xf numFmtId="0" fontId="15" fillId="0" borderId="0" xfId="107" applyFont="1" applyAlignment="1">
      <alignment horizontal="center"/>
    </xf>
    <xf numFmtId="0" fontId="15" fillId="0" borderId="60" xfId="107" applyFont="1" applyBorder="1" applyAlignment="1">
      <alignment horizontal="center"/>
    </xf>
    <xf numFmtId="0" fontId="14" fillId="0" borderId="10" xfId="107" applyFont="1" applyBorder="1" applyAlignment="1">
      <alignment horizontal="center"/>
    </xf>
    <xf numFmtId="0" fontId="14" fillId="0" borderId="83" xfId="107" applyFont="1" applyBorder="1" applyAlignment="1">
      <alignment horizontal="center"/>
    </xf>
    <xf numFmtId="0" fontId="14" fillId="0" borderId="1" xfId="107" applyFont="1" applyBorder="1" applyAlignment="1">
      <alignment horizontal="center"/>
    </xf>
    <xf numFmtId="0" fontId="15" fillId="0" borderId="49" xfId="107" applyFont="1" applyBorder="1"/>
    <xf numFmtId="0" fontId="14" fillId="0" borderId="49" xfId="107" applyFont="1" applyBorder="1" applyAlignment="1">
      <alignment horizontal="center"/>
    </xf>
    <xf numFmtId="0" fontId="14" fillId="0" borderId="21" xfId="107" applyFont="1" applyBorder="1" applyAlignment="1">
      <alignment horizontal="center"/>
    </xf>
    <xf numFmtId="0" fontId="14" fillId="0" borderId="48" xfId="107" applyFont="1" applyBorder="1" applyAlignment="1">
      <alignment horizontal="center"/>
    </xf>
    <xf numFmtId="58" fontId="15" fillId="0" borderId="47" xfId="107" applyNumberFormat="1" applyFont="1" applyBorder="1" applyAlignment="1">
      <alignment horizontal="center" vertical="center"/>
    </xf>
    <xf numFmtId="0" fontId="15" fillId="0" borderId="0" xfId="107" applyFont="1" applyAlignment="1">
      <alignment horizontal="distributed"/>
    </xf>
    <xf numFmtId="58" fontId="7" fillId="0" borderId="0" xfId="107" applyNumberFormat="1" applyAlignment="1">
      <alignment vertical="center"/>
    </xf>
    <xf numFmtId="0" fontId="51" fillId="0" borderId="0" xfId="107" applyFont="1" applyAlignment="1" applyProtection="1">
      <alignment vertical="center"/>
      <protection hidden="1"/>
    </xf>
    <xf numFmtId="0" fontId="15" fillId="0" borderId="83" xfId="107" applyFont="1" applyBorder="1"/>
    <xf numFmtId="0" fontId="15" fillId="0" borderId="47" xfId="107" applyFont="1" applyBorder="1" applyAlignment="1">
      <alignment horizontal="distributed"/>
    </xf>
    <xf numFmtId="0" fontId="15" fillId="0" borderId="60" xfId="107" applyFont="1" applyBorder="1" applyAlignment="1">
      <alignment horizontal="distributed"/>
    </xf>
    <xf numFmtId="0" fontId="8" fillId="0" borderId="0" xfId="107" applyFont="1"/>
    <xf numFmtId="0" fontId="15" fillId="0" borderId="49" xfId="107" applyFont="1" applyBorder="1" applyAlignment="1">
      <alignment horizontal="distributed"/>
    </xf>
    <xf numFmtId="0" fontId="15" fillId="0" borderId="21" xfId="107" applyFont="1" applyBorder="1" applyAlignment="1">
      <alignment horizontal="distributed"/>
    </xf>
    <xf numFmtId="0" fontId="15" fillId="0" borderId="48" xfId="107" applyFont="1" applyBorder="1" applyAlignment="1">
      <alignment horizontal="distributed"/>
    </xf>
    <xf numFmtId="0" fontId="15" fillId="0" borderId="10" xfId="107" applyFont="1" applyBorder="1"/>
    <xf numFmtId="0" fontId="15" fillId="0" borderId="10" xfId="107" applyFont="1" applyBorder="1" applyAlignment="1">
      <alignment horizontal="distributed"/>
    </xf>
    <xf numFmtId="0" fontId="15" fillId="0" borderId="83" xfId="107" applyFont="1" applyBorder="1" applyAlignment="1">
      <alignment horizontal="distributed"/>
    </xf>
    <xf numFmtId="0" fontId="15" fillId="0" borderId="1" xfId="107" applyFont="1" applyBorder="1" applyAlignment="1">
      <alignment horizontal="distributed"/>
    </xf>
    <xf numFmtId="0" fontId="15" fillId="0" borderId="21" xfId="107" applyFont="1" applyBorder="1" applyAlignment="1">
      <alignment vertical="center"/>
    </xf>
    <xf numFmtId="0" fontId="15" fillId="0" borderId="48" xfId="107" applyFont="1" applyBorder="1" applyAlignment="1">
      <alignment vertical="center"/>
    </xf>
    <xf numFmtId="0" fontId="52" fillId="0" borderId="47" xfId="107" applyFont="1" applyBorder="1" applyAlignment="1">
      <alignment horizontal="center"/>
    </xf>
    <xf numFmtId="0" fontId="52" fillId="0" borderId="0" xfId="107" applyFont="1" applyAlignment="1">
      <alignment horizontal="center"/>
    </xf>
    <xf numFmtId="0" fontId="52" fillId="0" borderId="60" xfId="107" applyFont="1" applyBorder="1" applyAlignment="1">
      <alignment horizontal="center"/>
    </xf>
    <xf numFmtId="0" fontId="15" fillId="0" borderId="48" xfId="107" applyFont="1" applyBorder="1"/>
    <xf numFmtId="0" fontId="15" fillId="0" borderId="60" xfId="107" applyFont="1" applyBorder="1"/>
    <xf numFmtId="0" fontId="15" fillId="0" borderId="47" xfId="107" applyFont="1" applyBorder="1" applyAlignment="1">
      <alignment horizontal="right"/>
    </xf>
    <xf numFmtId="0" fontId="15" fillId="0" borderId="0" xfId="107" applyFont="1" applyAlignment="1">
      <alignment horizontal="left"/>
    </xf>
    <xf numFmtId="0" fontId="15" fillId="0" borderId="60" xfId="107" applyFont="1" applyBorder="1" applyAlignment="1">
      <alignment horizontal="left"/>
    </xf>
    <xf numFmtId="0" fontId="15" fillId="0" borderId="0" xfId="107" applyFont="1" applyAlignment="1">
      <alignment horizontal="right"/>
    </xf>
    <xf numFmtId="0" fontId="15" fillId="38" borderId="0" xfId="107" applyFont="1" applyFill="1"/>
    <xf numFmtId="0" fontId="53" fillId="0" borderId="0" xfId="107" applyFont="1" applyProtection="1">
      <protection hidden="1"/>
    </xf>
    <xf numFmtId="0" fontId="15" fillId="0" borderId="47" xfId="107" applyFont="1" applyBorder="1" applyAlignment="1">
      <alignment horizontal="left"/>
    </xf>
    <xf numFmtId="0" fontId="51" fillId="0" borderId="0" xfId="107" applyFont="1" applyProtection="1">
      <protection hidden="1"/>
    </xf>
    <xf numFmtId="0" fontId="51" fillId="39" borderId="0" xfId="107" applyFont="1" applyFill="1" applyProtection="1">
      <protection hidden="1"/>
    </xf>
    <xf numFmtId="0" fontId="8" fillId="0" borderId="83" xfId="107" applyFont="1" applyBorder="1"/>
    <xf numFmtId="0" fontId="15" fillId="0" borderId="1" xfId="107" applyFont="1" applyBorder="1"/>
    <xf numFmtId="0" fontId="47" fillId="0" borderId="49" xfId="107" applyFont="1" applyBorder="1" applyAlignment="1">
      <alignment horizontal="center" vertical="distributed"/>
    </xf>
    <xf numFmtId="0" fontId="15" fillId="0" borderId="21" xfId="107" applyFont="1" applyBorder="1" applyAlignment="1">
      <alignment horizontal="center" vertical="distributed"/>
    </xf>
    <xf numFmtId="0" fontId="15" fillId="0" borderId="48" xfId="107" applyFont="1" applyBorder="1" applyAlignment="1">
      <alignment horizontal="center" vertical="distributed"/>
    </xf>
    <xf numFmtId="0" fontId="54" fillId="0" borderId="0" xfId="107" applyFont="1" applyProtection="1">
      <protection hidden="1"/>
    </xf>
    <xf numFmtId="0" fontId="54" fillId="0" borderId="0" xfId="107" applyFont="1" applyAlignment="1" applyProtection="1">
      <alignment horizontal="center" vertical="center"/>
      <protection hidden="1"/>
    </xf>
    <xf numFmtId="0" fontId="7" fillId="40" borderId="0" xfId="107" applyFill="1"/>
    <xf numFmtId="0" fontId="51" fillId="40" borderId="0" xfId="107" applyFont="1" applyFill="1" applyProtection="1">
      <protection hidden="1"/>
    </xf>
    <xf numFmtId="0" fontId="51" fillId="40" borderId="0" xfId="107" applyFont="1" applyFill="1" applyAlignment="1" applyProtection="1">
      <alignment vertical="center"/>
      <protection hidden="1"/>
    </xf>
    <xf numFmtId="0" fontId="15" fillId="39" borderId="0" xfId="107" applyFont="1" applyFill="1" applyAlignment="1">
      <alignment horizontal="center"/>
    </xf>
    <xf numFmtId="0" fontId="8" fillId="0" borderId="0" xfId="107" applyFont="1" applyAlignment="1">
      <alignment horizontal="left"/>
    </xf>
    <xf numFmtId="0" fontId="54" fillId="0" borderId="0" xfId="107" applyFont="1" applyAlignment="1" applyProtection="1">
      <alignment horizontal="left" vertical="center"/>
      <protection hidden="1"/>
    </xf>
    <xf numFmtId="0" fontId="54" fillId="0" borderId="0" xfId="107" applyFont="1" applyAlignment="1" applyProtection="1">
      <alignment vertical="center"/>
      <protection hidden="1"/>
    </xf>
    <xf numFmtId="0" fontId="54" fillId="39" borderId="0" xfId="107" applyFont="1" applyFill="1" applyAlignment="1" applyProtection="1">
      <alignment horizontal="left" vertical="center"/>
      <protection hidden="1"/>
    </xf>
    <xf numFmtId="0" fontId="8" fillId="0" borderId="0" xfId="107" applyFont="1" applyAlignment="1">
      <alignment horizontal="right"/>
    </xf>
    <xf numFmtId="0" fontId="52" fillId="0" borderId="0" xfId="107" applyFont="1" applyAlignment="1">
      <alignment vertical="center"/>
    </xf>
    <xf numFmtId="0" fontId="51" fillId="39" borderId="0" xfId="107" applyFont="1" applyFill="1" applyAlignment="1" applyProtection="1">
      <alignment vertical="center"/>
      <protection hidden="1"/>
    </xf>
    <xf numFmtId="0" fontId="14" fillId="0" borderId="47" xfId="107" applyFont="1" applyBorder="1" applyAlignment="1">
      <alignment horizontal="center"/>
    </xf>
    <xf numFmtId="0" fontId="56" fillId="0" borderId="0" xfId="107" applyFont="1" applyProtection="1">
      <protection hidden="1"/>
    </xf>
    <xf numFmtId="0" fontId="56" fillId="0" borderId="60" xfId="107" applyFont="1" applyBorder="1" applyProtection="1">
      <protection hidden="1"/>
    </xf>
    <xf numFmtId="58" fontId="14" fillId="0" borderId="47" xfId="107" applyNumberFormat="1" applyFont="1" applyBorder="1" applyAlignment="1">
      <alignment horizontal="center"/>
    </xf>
    <xf numFmtId="58" fontId="14" fillId="0" borderId="0" xfId="107" applyNumberFormat="1" applyFont="1" applyAlignment="1">
      <alignment horizontal="center" vertical="center"/>
    </xf>
    <xf numFmtId="58" fontId="14" fillId="0" borderId="0" xfId="107" applyNumberFormat="1" applyFont="1" applyAlignment="1">
      <alignment horizontal="right"/>
    </xf>
    <xf numFmtId="58" fontId="14" fillId="0" borderId="0" xfId="107" applyNumberFormat="1" applyFont="1" applyAlignment="1">
      <alignment horizontal="center"/>
    </xf>
    <xf numFmtId="58" fontId="14" fillId="0" borderId="60" xfId="107" applyNumberFormat="1" applyFont="1" applyBorder="1" applyAlignment="1">
      <alignment horizontal="right"/>
    </xf>
    <xf numFmtId="0" fontId="58" fillId="0" borderId="0" xfId="107" applyFont="1"/>
    <xf numFmtId="0" fontId="58" fillId="40" borderId="0" xfId="107" applyFont="1" applyFill="1"/>
    <xf numFmtId="0" fontId="59" fillId="0" borderId="47" xfId="107" applyFont="1" applyBorder="1" applyAlignment="1">
      <alignment horizontal="center"/>
    </xf>
    <xf numFmtId="0" fontId="59" fillId="0" borderId="0" xfId="107" applyFont="1" applyAlignment="1">
      <alignment horizontal="center"/>
    </xf>
    <xf numFmtId="0" fontId="60" fillId="0" borderId="60" xfId="107" applyFont="1" applyBorder="1"/>
    <xf numFmtId="0" fontId="51" fillId="0" borderId="0" xfId="107" applyFont="1" applyAlignment="1" applyProtection="1">
      <alignment vertical="center" wrapText="1" shrinkToFit="1"/>
      <protection hidden="1"/>
    </xf>
    <xf numFmtId="0" fontId="61" fillId="0" borderId="0" xfId="107" applyFont="1" applyAlignment="1" applyProtection="1">
      <alignment vertical="center"/>
      <protection hidden="1"/>
    </xf>
    <xf numFmtId="0" fontId="59" fillId="0" borderId="47" xfId="107" applyFont="1" applyBorder="1"/>
    <xf numFmtId="0" fontId="59" fillId="0" borderId="0" xfId="107" applyFont="1"/>
    <xf numFmtId="0" fontId="59" fillId="0" borderId="60" xfId="107" applyFont="1" applyBorder="1"/>
    <xf numFmtId="0" fontId="14" fillId="0" borderId="10" xfId="107" applyFont="1" applyBorder="1"/>
    <xf numFmtId="0" fontId="14" fillId="0" borderId="83" xfId="107" applyFont="1" applyBorder="1"/>
    <xf numFmtId="0" fontId="47" fillId="0" borderId="1" xfId="107" applyFont="1" applyBorder="1"/>
    <xf numFmtId="0" fontId="54" fillId="0" borderId="0" xfId="107" applyFont="1" applyAlignment="1" applyProtection="1">
      <alignment horizontal="right" vertical="top"/>
      <protection hidden="1"/>
    </xf>
    <xf numFmtId="0" fontId="51" fillId="0" borderId="0" xfId="107" applyFont="1" applyAlignment="1" applyProtection="1">
      <alignment horizontal="left"/>
      <protection hidden="1"/>
    </xf>
    <xf numFmtId="58" fontId="14" fillId="9" borderId="0" xfId="107" applyNumberFormat="1" applyFont="1" applyFill="1" applyAlignment="1">
      <alignment horizontal="center" vertical="center"/>
    </xf>
    <xf numFmtId="0" fontId="15" fillId="9" borderId="0" xfId="107" applyFont="1" applyFill="1" applyAlignment="1">
      <alignment horizontal="right"/>
    </xf>
    <xf numFmtId="0" fontId="15" fillId="9" borderId="0" xfId="107" applyFont="1" applyFill="1" applyAlignment="1">
      <alignment horizontal="left"/>
    </xf>
    <xf numFmtId="182" fontId="15" fillId="8" borderId="0" xfId="107" applyNumberFormat="1" applyFont="1" applyFill="1" applyAlignment="1">
      <alignment horizontal="center" vertical="center"/>
    </xf>
    <xf numFmtId="183" fontId="15" fillId="8" borderId="0" xfId="107" applyNumberFormat="1" applyFont="1" applyFill="1" applyAlignment="1">
      <alignment horizontal="center" vertical="center"/>
    </xf>
    <xf numFmtId="184" fontId="15" fillId="8" borderId="0" xfId="107" applyNumberFormat="1" applyFont="1" applyFill="1" applyAlignment="1">
      <alignment horizontal="center" vertical="center"/>
    </xf>
    <xf numFmtId="0" fontId="51" fillId="0" borderId="0" xfId="108" applyFont="1" applyAlignment="1" applyProtection="1">
      <alignment horizontal="left" vertical="center"/>
      <protection hidden="1"/>
    </xf>
    <xf numFmtId="0" fontId="51" fillId="0" borderId="0" xfId="108" applyFont="1" applyAlignment="1" applyProtection="1">
      <alignment horizontal="left" vertical="center"/>
      <protection locked="0"/>
    </xf>
    <xf numFmtId="49" fontId="51" fillId="0" borderId="0" xfId="108" applyNumberFormat="1" applyFont="1" applyAlignment="1" applyProtection="1">
      <alignment horizontal="left" vertical="center"/>
      <protection hidden="1"/>
    </xf>
    <xf numFmtId="0" fontId="51" fillId="0" borderId="0" xfId="108" applyFont="1" applyAlignment="1" applyProtection="1">
      <alignment horizontal="right" vertical="center"/>
      <protection hidden="1"/>
    </xf>
    <xf numFmtId="0" fontId="51" fillId="0" borderId="0" xfId="108" applyFont="1" applyAlignment="1" applyProtection="1">
      <alignment vertical="center" wrapText="1"/>
      <protection hidden="1"/>
    </xf>
    <xf numFmtId="0" fontId="51" fillId="0" borderId="0" xfId="108" applyFont="1" applyAlignment="1" applyProtection="1">
      <alignment vertical="center"/>
      <protection locked="0"/>
    </xf>
    <xf numFmtId="0" fontId="51" fillId="0" borderId="0" xfId="108" applyFont="1" applyAlignment="1" applyProtection="1">
      <alignment vertical="center"/>
      <protection hidden="1"/>
    </xf>
    <xf numFmtId="0" fontId="51" fillId="0" borderId="0" xfId="108" applyFont="1" applyAlignment="1" applyProtection="1">
      <alignment horizontal="center" vertical="center"/>
      <protection hidden="1"/>
    </xf>
    <xf numFmtId="0" fontId="51" fillId="0" borderId="0" xfId="108" applyFont="1" applyAlignment="1" applyProtection="1">
      <alignment horizontal="left" vertical="center" wrapText="1"/>
      <protection hidden="1"/>
    </xf>
    <xf numFmtId="0" fontId="51" fillId="0" borderId="21" xfId="108" applyFont="1" applyBorder="1" applyAlignment="1" applyProtection="1">
      <alignment vertical="center"/>
      <protection locked="0"/>
    </xf>
    <xf numFmtId="0" fontId="51" fillId="0" borderId="21" xfId="108" applyFont="1" applyBorder="1" applyAlignment="1" applyProtection="1">
      <alignment horizontal="left" vertical="center"/>
      <protection hidden="1"/>
    </xf>
    <xf numFmtId="0" fontId="64" fillId="0" borderId="0" xfId="108" applyFont="1" applyAlignment="1" applyProtection="1">
      <alignment horizontal="left" vertical="center"/>
      <protection hidden="1"/>
    </xf>
    <xf numFmtId="0" fontId="57" fillId="0" borderId="0" xfId="108" applyFont="1" applyAlignment="1" applyProtection="1">
      <alignment horizontal="left" vertical="center"/>
      <protection hidden="1"/>
    </xf>
    <xf numFmtId="0" fontId="61" fillId="0" borderId="0" xfId="108" applyFont="1" applyAlignment="1" applyProtection="1">
      <alignment horizontal="left" vertical="center"/>
      <protection hidden="1"/>
    </xf>
    <xf numFmtId="0" fontId="51" fillId="0" borderId="0" xfId="109" applyFont="1" applyProtection="1">
      <protection hidden="1"/>
    </xf>
    <xf numFmtId="0" fontId="54" fillId="0" borderId="0" xfId="109" applyFont="1" applyProtection="1">
      <protection hidden="1"/>
    </xf>
    <xf numFmtId="49" fontId="54" fillId="0" borderId="0" xfId="109" applyNumberFormat="1" applyFont="1" applyProtection="1">
      <protection hidden="1"/>
    </xf>
    <xf numFmtId="49" fontId="51" fillId="0" borderId="0" xfId="109" applyNumberFormat="1" applyFont="1" applyProtection="1">
      <protection hidden="1"/>
    </xf>
    <xf numFmtId="49" fontId="51" fillId="0" borderId="0" xfId="109" applyNumberFormat="1" applyFont="1" applyAlignment="1" applyProtection="1">
      <alignment horizontal="left"/>
      <protection hidden="1"/>
    </xf>
    <xf numFmtId="0" fontId="51" fillId="0" borderId="0" xfId="109" applyFont="1" applyAlignment="1" applyProtection="1">
      <alignment horizontal="left"/>
      <protection hidden="1"/>
    </xf>
    <xf numFmtId="0" fontId="63" fillId="0" borderId="0" xfId="109" applyFont="1"/>
    <xf numFmtId="0" fontId="51" fillId="0" borderId="0" xfId="109" applyFont="1" applyAlignment="1" applyProtection="1">
      <alignment horizontal="left" vertical="center"/>
      <protection hidden="1"/>
    </xf>
    <xf numFmtId="0" fontId="51" fillId="0" borderId="0" xfId="109" applyFont="1" applyAlignment="1" applyProtection="1">
      <alignment horizontal="right" vertical="top"/>
      <protection locked="0"/>
    </xf>
    <xf numFmtId="0" fontId="51" fillId="0" borderId="21" xfId="109" applyFont="1" applyBorder="1" applyProtection="1">
      <protection hidden="1"/>
    </xf>
    <xf numFmtId="0" fontId="51" fillId="0" borderId="21" xfId="109" applyFont="1" applyBorder="1" applyAlignment="1" applyProtection="1">
      <alignment vertical="top"/>
      <protection hidden="1"/>
    </xf>
    <xf numFmtId="0" fontId="51" fillId="0" borderId="0" xfId="109" applyFont="1" applyAlignment="1" applyProtection="1">
      <alignment vertical="top"/>
      <protection hidden="1"/>
    </xf>
    <xf numFmtId="0" fontId="51" fillId="0" borderId="0" xfId="109" applyFont="1" applyAlignment="1" applyProtection="1">
      <alignment horizontal="center" vertical="center"/>
      <protection hidden="1"/>
    </xf>
    <xf numFmtId="0" fontId="64" fillId="0" borderId="0" xfId="109" applyFont="1" applyProtection="1">
      <protection hidden="1"/>
    </xf>
    <xf numFmtId="0" fontId="57" fillId="0" borderId="0" xfId="109" applyFont="1" applyProtection="1">
      <protection hidden="1"/>
    </xf>
    <xf numFmtId="0" fontId="51" fillId="0" borderId="0" xfId="109" applyFont="1" applyAlignment="1" applyProtection="1">
      <alignment horizontal="left" vertical="distributed" wrapText="1"/>
      <protection hidden="1"/>
    </xf>
    <xf numFmtId="0" fontId="61" fillId="0" borderId="0" xfId="109" applyFont="1" applyProtection="1">
      <protection hidden="1"/>
    </xf>
    <xf numFmtId="0" fontId="66" fillId="0" borderId="0" xfId="71" applyFont="1">
      <alignment vertical="center"/>
    </xf>
    <xf numFmtId="0" fontId="66" fillId="0" borderId="49" xfId="71" applyFont="1" applyBorder="1">
      <alignment vertical="center"/>
    </xf>
    <xf numFmtId="0" fontId="66" fillId="0" borderId="21" xfId="71" applyFont="1" applyBorder="1">
      <alignment vertical="center"/>
    </xf>
    <xf numFmtId="0" fontId="66" fillId="0" borderId="48" xfId="71" applyFont="1" applyBorder="1">
      <alignment vertical="center"/>
    </xf>
    <xf numFmtId="0" fontId="66" fillId="0" borderId="47" xfId="71" applyFont="1" applyBorder="1">
      <alignment vertical="center"/>
    </xf>
    <xf numFmtId="0" fontId="66" fillId="0" borderId="60" xfId="71" applyFont="1" applyBorder="1">
      <alignment vertical="center"/>
    </xf>
    <xf numFmtId="0" fontId="66" fillId="0" borderId="95" xfId="71" applyFont="1" applyBorder="1">
      <alignment vertical="center"/>
    </xf>
    <xf numFmtId="0" fontId="66" fillId="0" borderId="83" xfId="71" applyFont="1" applyBorder="1">
      <alignment vertical="center"/>
    </xf>
    <xf numFmtId="0" fontId="66" fillId="0" borderId="96" xfId="71" applyFont="1" applyBorder="1">
      <alignment vertical="center"/>
    </xf>
    <xf numFmtId="0" fontId="53" fillId="0" borderId="0" xfId="118" applyFont="1" applyAlignment="1" applyProtection="1">
      <alignment horizontal="left" vertical="center"/>
      <protection hidden="1"/>
    </xf>
    <xf numFmtId="0" fontId="51" fillId="0" borderId="0" xfId="118" applyFont="1" applyProtection="1">
      <protection hidden="1"/>
    </xf>
    <xf numFmtId="0" fontId="67" fillId="0" borderId="0" xfId="71" applyFont="1">
      <alignment vertical="center"/>
    </xf>
    <xf numFmtId="0" fontId="63" fillId="0" borderId="0" xfId="119" applyFont="1" applyAlignment="1">
      <alignment horizontal="left" vertical="center"/>
    </xf>
    <xf numFmtId="0" fontId="53" fillId="0" borderId="0" xfId="119" applyFont="1" applyAlignment="1">
      <alignment horizontal="left" vertical="center"/>
    </xf>
    <xf numFmtId="0" fontId="53" fillId="0" borderId="53" xfId="119" applyFont="1" applyBorder="1" applyAlignment="1">
      <alignment horizontal="left" vertical="center"/>
    </xf>
    <xf numFmtId="0" fontId="53" fillId="0" borderId="33" xfId="119" applyFont="1" applyBorder="1" applyAlignment="1">
      <alignment horizontal="left" vertical="center"/>
    </xf>
    <xf numFmtId="0" fontId="53" fillId="0" borderId="33" xfId="119" applyFont="1" applyBorder="1" applyAlignment="1">
      <alignment horizontal="right" vertical="center" shrinkToFit="1"/>
    </xf>
    <xf numFmtId="0" fontId="53" fillId="0" borderId="21" xfId="119" applyFont="1" applyBorder="1" applyAlignment="1">
      <alignment vertical="center"/>
    </xf>
    <xf numFmtId="0" fontId="53" fillId="0" borderId="21" xfId="119" applyFont="1" applyBorder="1" applyAlignment="1">
      <alignment horizontal="right" vertical="center"/>
    </xf>
    <xf numFmtId="0" fontId="53" fillId="0" borderId="48" xfId="119" applyFont="1" applyBorder="1" applyAlignment="1">
      <alignment vertical="center"/>
    </xf>
    <xf numFmtId="0" fontId="53" fillId="0" borderId="47" xfId="119" applyFont="1" applyBorder="1" applyAlignment="1">
      <alignment horizontal="left" vertical="center"/>
    </xf>
    <xf numFmtId="0" fontId="53" fillId="0" borderId="0" xfId="119" applyFont="1" applyAlignment="1">
      <alignment vertical="center" shrinkToFit="1"/>
    </xf>
    <xf numFmtId="0" fontId="53" fillId="0" borderId="0" xfId="119" applyFont="1" applyAlignment="1">
      <alignment vertical="center"/>
    </xf>
    <xf numFmtId="0" fontId="53" fillId="0" borderId="97" xfId="119" applyFont="1" applyBorder="1" applyAlignment="1">
      <alignment vertical="center"/>
    </xf>
    <xf numFmtId="0" fontId="53" fillId="0" borderId="0" xfId="119" applyFont="1" applyAlignment="1">
      <alignment horizontal="right" vertical="center"/>
    </xf>
    <xf numFmtId="0" fontId="53" fillId="0" borderId="97" xfId="119" applyFont="1" applyBorder="1" applyAlignment="1">
      <alignment horizontal="left" vertical="center"/>
    </xf>
    <xf numFmtId="0" fontId="53" fillId="0" borderId="95" xfId="119" applyFont="1" applyBorder="1" applyAlignment="1">
      <alignment vertical="center"/>
    </xf>
    <xf numFmtId="0" fontId="53" fillId="0" borderId="83" xfId="119" applyFont="1" applyBorder="1" applyAlignment="1">
      <alignment vertical="center"/>
    </xf>
    <xf numFmtId="0" fontId="53" fillId="0" borderId="83" xfId="119" applyFont="1" applyBorder="1" applyAlignment="1">
      <alignment horizontal="left" vertical="center"/>
    </xf>
    <xf numFmtId="0" fontId="53" fillId="0" borderId="96" xfId="119" applyFont="1" applyBorder="1" applyAlignment="1">
      <alignment horizontal="left" vertical="center"/>
    </xf>
    <xf numFmtId="0" fontId="53" fillId="0" borderId="21" xfId="119" applyFont="1" applyBorder="1" applyAlignment="1">
      <alignment horizontal="left" vertical="center"/>
    </xf>
    <xf numFmtId="0" fontId="53" fillId="0" borderId="33" xfId="119" applyFont="1" applyBorder="1" applyAlignment="1">
      <alignment vertical="center"/>
    </xf>
    <xf numFmtId="0" fontId="53" fillId="0" borderId="33" xfId="119" applyFont="1" applyBorder="1" applyAlignment="1">
      <alignment horizontal="right" vertical="center"/>
    </xf>
    <xf numFmtId="0" fontId="53" fillId="0" borderId="35" xfId="119" applyFont="1" applyBorder="1" applyAlignment="1">
      <alignment vertical="center"/>
    </xf>
    <xf numFmtId="0" fontId="53" fillId="0" borderId="51" xfId="119" applyFont="1" applyBorder="1" applyAlignment="1">
      <alignment vertical="center"/>
    </xf>
    <xf numFmtId="0" fontId="53" fillId="0" borderId="51" xfId="119" applyFont="1" applyBorder="1" applyAlignment="1">
      <alignment horizontal="left" vertical="center"/>
    </xf>
    <xf numFmtId="0" fontId="53" fillId="0" borderId="75" xfId="119" applyFont="1" applyBorder="1" applyAlignment="1">
      <alignment horizontal="left" vertical="center"/>
    </xf>
    <xf numFmtId="0" fontId="53" fillId="0" borderId="21" xfId="119" applyFont="1" applyBorder="1" applyAlignment="1">
      <alignment horizontal="right" vertical="center" shrinkToFit="1"/>
    </xf>
    <xf numFmtId="0" fontId="53" fillId="0" borderId="60" xfId="119" applyFont="1" applyBorder="1" applyAlignment="1">
      <alignment horizontal="left" vertical="center"/>
    </xf>
    <xf numFmtId="0" fontId="53" fillId="0" borderId="0" xfId="119" applyFont="1" applyAlignment="1" applyProtection="1">
      <alignment horizontal="left" vertical="center"/>
      <protection hidden="1"/>
    </xf>
    <xf numFmtId="0" fontId="53" fillId="0" borderId="95" xfId="119" applyFont="1" applyBorder="1" applyAlignment="1">
      <alignment horizontal="left" vertical="center"/>
    </xf>
    <xf numFmtId="0" fontId="53" fillId="0" borderId="98" xfId="119" applyFont="1" applyBorder="1" applyAlignment="1" applyProtection="1">
      <alignment horizontal="left" vertical="center"/>
      <protection hidden="1"/>
    </xf>
    <xf numFmtId="0" fontId="53" fillId="0" borderId="78" xfId="119" applyFont="1" applyBorder="1" applyAlignment="1" applyProtection="1">
      <alignment horizontal="left" vertical="center"/>
      <protection hidden="1"/>
    </xf>
    <xf numFmtId="0" fontId="53" fillId="0" borderId="78" xfId="119" applyFont="1" applyBorder="1" applyAlignment="1">
      <alignment horizontal="left" vertical="center"/>
    </xf>
    <xf numFmtId="0" fontId="51" fillId="0" borderId="0" xfId="119" applyFont="1" applyAlignment="1" applyProtection="1">
      <alignment horizontal="left" vertical="center"/>
      <protection hidden="1"/>
    </xf>
    <xf numFmtId="0" fontId="51" fillId="0" borderId="0" xfId="119" applyFont="1" applyAlignment="1" applyProtection="1">
      <alignment horizontal="left" vertical="center"/>
      <protection locked="0"/>
    </xf>
    <xf numFmtId="49" fontId="51" fillId="0" borderId="0" xfId="119" applyNumberFormat="1" applyFont="1" applyAlignment="1" applyProtection="1">
      <alignment horizontal="left" vertical="center"/>
      <protection hidden="1"/>
    </xf>
    <xf numFmtId="0" fontId="54" fillId="0" borderId="0" xfId="119" applyFont="1" applyAlignment="1" applyProtection="1">
      <alignment horizontal="left" vertical="center"/>
      <protection hidden="1"/>
    </xf>
    <xf numFmtId="49" fontId="54" fillId="0" borderId="0" xfId="119" applyNumberFormat="1" applyFont="1" applyAlignment="1" applyProtection="1">
      <alignment horizontal="left" vertical="center"/>
      <protection hidden="1"/>
    </xf>
    <xf numFmtId="0" fontId="54" fillId="0" borderId="0" xfId="119" applyFont="1" applyAlignment="1" applyProtection="1">
      <alignment horizontal="center" vertical="center"/>
      <protection locked="0"/>
    </xf>
    <xf numFmtId="0" fontId="54" fillId="0" borderId="21" xfId="119" applyFont="1" applyBorder="1" applyAlignment="1" applyProtection="1">
      <alignment horizontal="left" vertical="center"/>
      <protection hidden="1"/>
    </xf>
    <xf numFmtId="0" fontId="54" fillId="0" borderId="0" xfId="119" applyFont="1" applyAlignment="1" applyProtection="1">
      <alignment vertical="center"/>
      <protection hidden="1"/>
    </xf>
    <xf numFmtId="0" fontId="64" fillId="0" borderId="0" xfId="119" applyFont="1" applyAlignment="1" applyProtection="1">
      <alignment horizontal="left" vertical="center"/>
      <protection hidden="1"/>
    </xf>
    <xf numFmtId="0" fontId="65" fillId="0" borderId="0" xfId="119" applyFont="1" applyAlignment="1" applyProtection="1">
      <alignment horizontal="left" vertical="center"/>
      <protection hidden="1"/>
    </xf>
    <xf numFmtId="0" fontId="61" fillId="0" borderId="0" xfId="119" applyFont="1" applyAlignment="1" applyProtection="1">
      <alignment horizontal="left" vertical="center"/>
      <protection hidden="1"/>
    </xf>
    <xf numFmtId="0" fontId="61" fillId="0" borderId="0" xfId="119" applyFont="1" applyAlignment="1" applyProtection="1">
      <alignment vertical="center"/>
      <protection locked="0"/>
    </xf>
    <xf numFmtId="0" fontId="51" fillId="0" borderId="0" xfId="119" applyFont="1" applyAlignment="1">
      <alignment horizontal="left" vertical="center" wrapText="1"/>
    </xf>
    <xf numFmtId="0" fontId="51" fillId="0" borderId="0" xfId="119" applyFont="1" applyAlignment="1">
      <alignment horizontal="left" vertical="center"/>
    </xf>
    <xf numFmtId="0" fontId="54" fillId="0" borderId="0" xfId="119" applyFont="1" applyAlignment="1">
      <alignment horizontal="left" vertical="center"/>
    </xf>
    <xf numFmtId="0" fontId="65" fillId="0" borderId="0" xfId="119" applyFont="1" applyAlignment="1">
      <alignment horizontal="center" vertical="center"/>
    </xf>
    <xf numFmtId="0" fontId="63" fillId="0" borderId="0" xfId="120" applyFont="1" applyAlignment="1">
      <alignment horizontal="left" vertical="center"/>
    </xf>
    <xf numFmtId="0" fontId="53" fillId="0" borderId="53" xfId="120" applyFont="1" applyBorder="1" applyAlignment="1">
      <alignment horizontal="left" vertical="center"/>
    </xf>
    <xf numFmtId="0" fontId="53" fillId="0" borderId="33" xfId="120" applyFont="1" applyBorder="1" applyAlignment="1">
      <alignment horizontal="left" vertical="center"/>
    </xf>
    <xf numFmtId="0" fontId="53" fillId="0" borderId="33" xfId="120" applyFont="1" applyBorder="1" applyAlignment="1">
      <alignment horizontal="right" vertical="center" shrinkToFit="1"/>
    </xf>
    <xf numFmtId="0" fontId="53" fillId="0" borderId="33" xfId="120" applyFont="1" applyBorder="1" applyAlignment="1">
      <alignment vertical="center"/>
    </xf>
    <xf numFmtId="0" fontId="53" fillId="0" borderId="33" xfId="120" applyFont="1" applyBorder="1" applyAlignment="1">
      <alignment horizontal="right" vertical="center"/>
    </xf>
    <xf numFmtId="0" fontId="53" fillId="0" borderId="35" xfId="120" applyFont="1" applyBorder="1" applyAlignment="1">
      <alignment vertical="center"/>
    </xf>
    <xf numFmtId="0" fontId="53" fillId="0" borderId="0" xfId="120" applyFont="1" applyAlignment="1">
      <alignment horizontal="left" vertical="center"/>
    </xf>
    <xf numFmtId="0" fontId="53" fillId="0" borderId="47" xfId="120" applyFont="1" applyBorder="1" applyAlignment="1">
      <alignment horizontal="left" vertical="center"/>
    </xf>
    <xf numFmtId="0" fontId="53" fillId="0" borderId="0" xfId="120" applyFont="1" applyAlignment="1">
      <alignment horizontal="right" vertical="center"/>
    </xf>
    <xf numFmtId="0" fontId="53" fillId="0" borderId="97" xfId="120" applyFont="1" applyBorder="1" applyAlignment="1">
      <alignment vertical="center"/>
    </xf>
    <xf numFmtId="0" fontId="53" fillId="0" borderId="51" xfId="120" applyFont="1" applyBorder="1" applyAlignment="1">
      <alignment vertical="center"/>
    </xf>
    <xf numFmtId="0" fontId="53" fillId="0" borderId="97" xfId="120" applyFont="1" applyBorder="1" applyAlignment="1">
      <alignment horizontal="left" vertical="center"/>
    </xf>
    <xf numFmtId="0" fontId="53" fillId="0" borderId="51" xfId="120" applyFont="1" applyBorder="1" applyAlignment="1">
      <alignment horizontal="left" vertical="center"/>
    </xf>
    <xf numFmtId="0" fontId="53" fillId="0" borderId="75" xfId="120" applyFont="1" applyBorder="1" applyAlignment="1">
      <alignment horizontal="left" vertical="center"/>
    </xf>
    <xf numFmtId="0" fontId="53" fillId="0" borderId="96" xfId="120" applyFont="1" applyBorder="1" applyAlignment="1">
      <alignment horizontal="left" vertical="center"/>
    </xf>
    <xf numFmtId="0" fontId="53" fillId="0" borderId="0" xfId="120" applyFont="1" applyAlignment="1" applyProtection="1">
      <alignment horizontal="left" vertical="center"/>
      <protection hidden="1"/>
    </xf>
    <xf numFmtId="0" fontId="54" fillId="0" borderId="0" xfId="120" applyFont="1" applyAlignment="1" applyProtection="1">
      <alignment horizontal="left" vertical="center"/>
      <protection hidden="1"/>
    </xf>
    <xf numFmtId="0" fontId="51" fillId="0" borderId="0" xfId="120" applyFont="1" applyAlignment="1" applyProtection="1">
      <alignment horizontal="left" vertical="center"/>
      <protection hidden="1"/>
    </xf>
    <xf numFmtId="49" fontId="54" fillId="0" borderId="0" xfId="120" applyNumberFormat="1" applyFont="1" applyAlignment="1" applyProtection="1">
      <alignment horizontal="left" vertical="center"/>
      <protection hidden="1"/>
    </xf>
    <xf numFmtId="0" fontId="61" fillId="0" borderId="0" xfId="120" applyFont="1" applyAlignment="1" applyProtection="1">
      <alignment horizontal="left" vertical="center"/>
      <protection hidden="1"/>
    </xf>
    <xf numFmtId="0" fontId="65" fillId="0" borderId="0" xfId="120" applyFont="1" applyAlignment="1">
      <alignment horizontal="center" vertical="center"/>
    </xf>
    <xf numFmtId="0" fontId="51" fillId="0" borderId="0" xfId="121" applyFont="1" applyAlignment="1" applyProtection="1">
      <alignment vertical="center"/>
      <protection hidden="1"/>
    </xf>
    <xf numFmtId="0" fontId="51" fillId="0" borderId="0" xfId="121" applyFont="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left" vertical="center"/>
      <protection hidden="1"/>
    </xf>
    <xf numFmtId="0" fontId="51" fillId="0" borderId="0" xfId="121" applyFont="1" applyAlignment="1" applyProtection="1">
      <alignment horizontal="right" vertical="center"/>
      <protection hidden="1"/>
    </xf>
    <xf numFmtId="0" fontId="51" fillId="0" borderId="0" xfId="121" applyFont="1" applyAlignment="1" applyProtection="1">
      <alignment horizontal="center" vertical="center"/>
      <protection hidden="1"/>
    </xf>
    <xf numFmtId="49" fontId="51" fillId="0" borderId="0" xfId="121" applyNumberFormat="1" applyFont="1" applyAlignment="1" applyProtection="1">
      <alignment vertical="center"/>
      <protection hidden="1"/>
    </xf>
    <xf numFmtId="0" fontId="51" fillId="0" borderId="0" xfId="121" applyFont="1" applyAlignment="1" applyProtection="1">
      <alignment horizontal="distributed" vertical="center"/>
      <protection locked="0"/>
    </xf>
    <xf numFmtId="0" fontId="63" fillId="0" borderId="0" xfId="121" applyFont="1" applyAlignment="1">
      <alignment vertical="center"/>
    </xf>
    <xf numFmtId="0" fontId="51" fillId="0" borderId="83" xfId="121" applyFont="1" applyBorder="1" applyAlignment="1" applyProtection="1">
      <alignment vertical="center"/>
      <protection locked="0"/>
    </xf>
    <xf numFmtId="0" fontId="51" fillId="0" borderId="83" xfId="121" applyFont="1" applyBorder="1" applyAlignment="1" applyProtection="1">
      <alignment horizontal="left" vertical="center" wrapText="1"/>
      <protection hidden="1"/>
    </xf>
    <xf numFmtId="0" fontId="51" fillId="0" borderId="83" xfId="121" applyFont="1" applyBorder="1" applyAlignment="1" applyProtection="1">
      <alignment vertical="center"/>
      <protection hidden="1"/>
    </xf>
    <xf numFmtId="0" fontId="51" fillId="0" borderId="21" xfId="121" applyFont="1" applyBorder="1" applyAlignment="1" applyProtection="1">
      <alignment vertical="center"/>
      <protection locked="0"/>
    </xf>
    <xf numFmtId="0" fontId="51" fillId="0" borderId="21" xfId="121" applyFont="1" applyBorder="1" applyAlignment="1" applyProtection="1">
      <alignment vertical="center"/>
      <protection hidden="1"/>
    </xf>
    <xf numFmtId="0" fontId="64" fillId="0" borderId="0" xfId="121" applyFont="1" applyAlignment="1" applyProtection="1">
      <alignment vertical="center"/>
      <protection hidden="1"/>
    </xf>
    <xf numFmtId="0" fontId="57" fillId="0" borderId="0" xfId="121" applyFont="1" applyAlignment="1" applyProtection="1">
      <alignment vertical="center"/>
      <protection hidden="1"/>
    </xf>
    <xf numFmtId="0" fontId="51" fillId="0" borderId="0" xfId="121" applyFont="1" applyAlignment="1" applyProtection="1">
      <alignment horizontal="left" vertical="center" wrapText="1"/>
      <protection hidden="1"/>
    </xf>
    <xf numFmtId="0" fontId="7" fillId="0" borderId="0" xfId="121" applyAlignment="1">
      <alignment vertical="center"/>
    </xf>
    <xf numFmtId="0" fontId="61" fillId="0" borderId="0" xfId="121" applyFont="1" applyAlignment="1" applyProtection="1">
      <alignment vertical="center"/>
      <protection hidden="1"/>
    </xf>
    <xf numFmtId="0" fontId="51" fillId="0" borderId="0" xfId="122" applyFont="1" applyAlignment="1" applyProtection="1">
      <alignment vertical="center"/>
      <protection hidden="1"/>
    </xf>
    <xf numFmtId="0" fontId="54" fillId="0" borderId="0" xfId="122" applyFont="1" applyAlignment="1">
      <alignment vertical="center"/>
    </xf>
    <xf numFmtId="0" fontId="51" fillId="0" borderId="0" xfId="122" applyFont="1" applyAlignment="1" applyProtection="1">
      <alignment vertical="center"/>
      <protection locked="0"/>
    </xf>
    <xf numFmtId="0" fontId="51" fillId="0" borderId="0" xfId="122" applyFont="1" applyAlignment="1" applyProtection="1">
      <alignment horizontal="left" vertical="center"/>
      <protection locked="0"/>
    </xf>
    <xf numFmtId="0" fontId="54" fillId="0" borderId="49" xfId="122" applyFont="1" applyBorder="1" applyAlignment="1">
      <alignment vertical="center"/>
    </xf>
    <xf numFmtId="0" fontId="54" fillId="0" borderId="21" xfId="122" applyFont="1" applyBorder="1" applyAlignment="1">
      <alignment vertical="center"/>
    </xf>
    <xf numFmtId="0" fontId="54" fillId="0" borderId="99" xfId="122" applyFont="1" applyBorder="1" applyAlignment="1">
      <alignment horizontal="right" vertical="center"/>
    </xf>
    <xf numFmtId="0" fontId="54" fillId="0" borderId="47" xfId="122" applyFont="1" applyBorder="1" applyAlignment="1">
      <alignment vertical="center"/>
    </xf>
    <xf numFmtId="0" fontId="54" fillId="0" borderId="0" xfId="122" applyFont="1" applyAlignment="1">
      <alignment horizontal="right" vertical="center"/>
    </xf>
    <xf numFmtId="0" fontId="63" fillId="0" borderId="0" xfId="122" applyFont="1" applyAlignment="1">
      <alignment vertical="center"/>
    </xf>
    <xf numFmtId="0" fontId="54" fillId="0" borderId="97" xfId="122" applyFont="1" applyBorder="1" applyAlignment="1">
      <alignment vertical="center"/>
    </xf>
    <xf numFmtId="0" fontId="54" fillId="0" borderId="102" xfId="122" applyFont="1" applyBorder="1" applyAlignment="1" applyProtection="1">
      <alignment vertical="center"/>
      <protection hidden="1"/>
    </xf>
    <xf numFmtId="0" fontId="54" fillId="0" borderId="97" xfId="122" applyFont="1" applyBorder="1" applyAlignment="1" applyProtection="1">
      <alignment horizontal="center" vertical="center"/>
      <protection hidden="1"/>
    </xf>
    <xf numFmtId="0" fontId="54" fillId="0" borderId="97" xfId="122" applyFont="1" applyBorder="1" applyAlignment="1" applyProtection="1">
      <alignment vertical="center"/>
      <protection hidden="1"/>
    </xf>
    <xf numFmtId="0" fontId="54" fillId="0" borderId="51" xfId="122" applyFont="1" applyBorder="1" applyAlignment="1">
      <alignment vertical="center"/>
    </xf>
    <xf numFmtId="0" fontId="54" fillId="0" borderId="60" xfId="122" applyFont="1" applyBorder="1" applyAlignment="1">
      <alignment vertical="center"/>
    </xf>
    <xf numFmtId="0" fontId="54" fillId="0" borderId="95" xfId="122" applyFont="1" applyBorder="1" applyAlignment="1" applyProtection="1">
      <alignment vertical="center"/>
      <protection hidden="1"/>
    </xf>
    <xf numFmtId="0" fontId="54" fillId="0" borderId="83" xfId="122" applyFont="1" applyBorder="1" applyAlignment="1" applyProtection="1">
      <alignment vertical="center"/>
      <protection hidden="1"/>
    </xf>
    <xf numFmtId="0" fontId="54" fillId="0" borderId="83" xfId="122" applyFont="1" applyBorder="1" applyAlignment="1" applyProtection="1">
      <alignment horizontal="center" vertical="center"/>
      <protection hidden="1"/>
    </xf>
    <xf numFmtId="0" fontId="54" fillId="0" borderId="83" xfId="122" applyFont="1" applyBorder="1" applyAlignment="1">
      <alignment vertical="center"/>
    </xf>
    <xf numFmtId="0" fontId="54" fillId="0" borderId="96" xfId="122" applyFont="1" applyBorder="1" applyAlignment="1">
      <alignment vertical="center"/>
    </xf>
    <xf numFmtId="0" fontId="54" fillId="0" borderId="0" xfId="122" applyFont="1" applyAlignment="1">
      <alignment horizontal="left" vertical="center"/>
    </xf>
    <xf numFmtId="0" fontId="54" fillId="0" borderId="53" xfId="122" applyFont="1" applyBorder="1" applyAlignment="1">
      <alignment vertical="center"/>
    </xf>
    <xf numFmtId="0" fontId="54" fillId="0" borderId="33" xfId="122" applyFont="1" applyBorder="1" applyAlignment="1">
      <alignment vertical="center"/>
    </xf>
    <xf numFmtId="0" fontId="54" fillId="0" borderId="103" xfId="122" applyFont="1" applyBorder="1" applyAlignment="1" applyProtection="1">
      <alignment horizontal="right" vertical="center"/>
      <protection hidden="1"/>
    </xf>
    <xf numFmtId="0" fontId="54" fillId="0" borderId="35" xfId="122" applyFont="1" applyBorder="1" applyAlignment="1">
      <alignment vertical="center"/>
    </xf>
    <xf numFmtId="0" fontId="54" fillId="0" borderId="105" xfId="122" applyFont="1" applyBorder="1" applyAlignment="1">
      <alignment horizontal="right" vertical="center"/>
    </xf>
    <xf numFmtId="0" fontId="54" fillId="0" borderId="103" xfId="122" applyFont="1" applyBorder="1" applyAlignment="1">
      <alignment horizontal="right" vertical="center"/>
    </xf>
    <xf numFmtId="0" fontId="54" fillId="0" borderId="95" xfId="122" applyFont="1" applyBorder="1" applyAlignment="1">
      <alignment vertical="center"/>
    </xf>
    <xf numFmtId="0" fontId="54" fillId="0" borderId="83" xfId="122" applyFont="1" applyBorder="1" applyAlignment="1">
      <alignment horizontal="center" vertical="center"/>
    </xf>
    <xf numFmtId="0" fontId="51" fillId="0" borderId="0" xfId="122" applyFont="1" applyAlignment="1" applyProtection="1">
      <alignment horizontal="center" vertical="center"/>
      <protection hidden="1"/>
    </xf>
    <xf numFmtId="49" fontId="51" fillId="0" borderId="0" xfId="122" applyNumberFormat="1" applyFont="1" applyAlignment="1" applyProtection="1">
      <alignment vertical="center"/>
      <protection hidden="1"/>
    </xf>
    <xf numFmtId="0" fontId="51" fillId="0" borderId="0" xfId="122" applyFont="1" applyAlignment="1" applyProtection="1">
      <alignment horizontal="distributed" vertical="center"/>
      <protection locked="0"/>
    </xf>
    <xf numFmtId="0" fontId="51" fillId="0" borderId="0" xfId="122" applyFont="1" applyAlignment="1" applyProtection="1">
      <alignment horizontal="distributed" vertical="center"/>
      <protection hidden="1"/>
    </xf>
    <xf numFmtId="0" fontId="51" fillId="0" borderId="0" xfId="122" applyFont="1" applyAlignment="1" applyProtection="1">
      <alignment horizontal="left" vertical="center" wrapText="1"/>
      <protection hidden="1"/>
    </xf>
    <xf numFmtId="0" fontId="51" fillId="0" borderId="21" xfId="122" applyFont="1" applyBorder="1" applyAlignment="1" applyProtection="1">
      <alignment vertical="center"/>
      <protection locked="0"/>
    </xf>
    <xf numFmtId="0" fontId="51" fillId="0" borderId="21" xfId="122" applyFont="1" applyBorder="1" applyAlignment="1" applyProtection="1">
      <alignment vertical="center"/>
      <protection hidden="1"/>
    </xf>
    <xf numFmtId="0" fontId="51" fillId="0" borderId="0" xfId="122" applyFont="1" applyAlignment="1" applyProtection="1">
      <alignment horizontal="left" vertical="center"/>
      <protection hidden="1"/>
    </xf>
    <xf numFmtId="0" fontId="64" fillId="0" borderId="0" xfId="122" applyFont="1" applyAlignment="1" applyProtection="1">
      <alignment vertical="center"/>
      <protection hidden="1"/>
    </xf>
    <xf numFmtId="0" fontId="57" fillId="0" borderId="0" xfId="122" applyFont="1" applyAlignment="1" applyProtection="1">
      <alignment vertical="center"/>
      <protection hidden="1"/>
    </xf>
    <xf numFmtId="0" fontId="61" fillId="0" borderId="0" xfId="122" applyFont="1" applyAlignment="1" applyProtection="1">
      <alignment vertical="center"/>
      <protection hidden="1"/>
    </xf>
    <xf numFmtId="0" fontId="61" fillId="9" borderId="0" xfId="119" applyFont="1" applyFill="1" applyAlignment="1" applyProtection="1">
      <alignment vertical="center"/>
      <protection locked="0"/>
    </xf>
    <xf numFmtId="0" fontId="51" fillId="9" borderId="0" xfId="109" applyFont="1" applyFill="1" applyProtection="1">
      <protection hidden="1"/>
    </xf>
    <xf numFmtId="49" fontId="54" fillId="9" borderId="0" xfId="109" applyNumberFormat="1" applyFont="1" applyFill="1" applyProtection="1">
      <protection hidden="1"/>
    </xf>
    <xf numFmtId="0" fontId="66" fillId="9" borderId="0" xfId="71" applyFont="1" applyFill="1">
      <alignment vertical="center"/>
    </xf>
    <xf numFmtId="0" fontId="53" fillId="37" borderId="0" xfId="119" applyFont="1" applyFill="1" applyAlignment="1">
      <alignment horizontal="left" vertical="center"/>
    </xf>
    <xf numFmtId="0" fontId="53" fillId="37" borderId="3" xfId="119" applyFont="1" applyFill="1" applyBorder="1" applyAlignment="1">
      <alignment horizontal="left" vertical="center"/>
    </xf>
    <xf numFmtId="0" fontId="53" fillId="37" borderId="78" xfId="119" applyFont="1" applyFill="1" applyBorder="1" applyAlignment="1">
      <alignment horizontal="left" vertical="center"/>
    </xf>
    <xf numFmtId="0" fontId="54" fillId="0" borderId="0" xfId="109" applyFont="1"/>
    <xf numFmtId="0" fontId="51" fillId="37" borderId="0" xfId="108" applyFont="1" applyFill="1" applyAlignment="1" applyProtection="1">
      <alignment horizontal="left" vertical="center"/>
      <protection locked="0"/>
    </xf>
    <xf numFmtId="0" fontId="51" fillId="37" borderId="0" xfId="108" applyFont="1" applyFill="1" applyAlignment="1" applyProtection="1">
      <alignment horizontal="left" vertical="center"/>
      <protection hidden="1"/>
    </xf>
    <xf numFmtId="0" fontId="51" fillId="0" borderId="0" xfId="109" applyFont="1" applyAlignment="1" applyProtection="1">
      <alignment vertical="center"/>
      <protection hidden="1"/>
    </xf>
    <xf numFmtId="0" fontId="54" fillId="9" borderId="0" xfId="122" applyFont="1" applyFill="1" applyAlignment="1">
      <alignment vertical="center"/>
    </xf>
    <xf numFmtId="0" fontId="54" fillId="9" borderId="33" xfId="122" applyFont="1" applyFill="1" applyBorder="1" applyAlignment="1">
      <alignment vertical="center"/>
    </xf>
    <xf numFmtId="49" fontId="54" fillId="9" borderId="21" xfId="122" applyNumberFormat="1" applyFont="1" applyFill="1" applyBorder="1" applyAlignment="1">
      <alignment vertical="center"/>
    </xf>
    <xf numFmtId="0" fontId="51" fillId="37" borderId="0" xfId="121" applyFont="1" applyFill="1" applyAlignment="1" applyProtection="1">
      <alignment vertical="center"/>
      <protection locked="0"/>
    </xf>
    <xf numFmtId="0" fontId="51" fillId="9" borderId="0" xfId="121" applyFont="1" applyFill="1" applyAlignment="1" applyProtection="1">
      <alignment vertical="center"/>
      <protection hidden="1"/>
    </xf>
    <xf numFmtId="0" fontId="51" fillId="9" borderId="0" xfId="121" applyFont="1" applyFill="1" applyAlignment="1" applyProtection="1">
      <alignment horizontal="center" vertical="center"/>
      <protection hidden="1"/>
    </xf>
    <xf numFmtId="0" fontId="51" fillId="9" borderId="0" xfId="108" applyFont="1" applyFill="1" applyAlignment="1" applyProtection="1">
      <alignment horizontal="left" vertical="center"/>
      <protection hidden="1"/>
    </xf>
    <xf numFmtId="49" fontId="51" fillId="0" borderId="0" xfId="109" applyNumberFormat="1" applyFont="1" applyAlignment="1" applyProtection="1">
      <alignment horizontal="left" vertical="center"/>
      <protection hidden="1"/>
    </xf>
    <xf numFmtId="0" fontId="63" fillId="0" borderId="0" xfId="109" applyFont="1" applyAlignment="1">
      <alignment vertical="center"/>
    </xf>
    <xf numFmtId="0" fontId="62" fillId="37" borderId="0" xfId="107" applyFont="1" applyFill="1" applyAlignment="1">
      <alignment horizontal="center"/>
    </xf>
    <xf numFmtId="0" fontId="51" fillId="40" borderId="0" xfId="123" applyFont="1" applyFill="1" applyAlignment="1" applyProtection="1">
      <alignment vertical="center"/>
      <protection hidden="1"/>
    </xf>
    <xf numFmtId="0" fontId="51" fillId="40" borderId="0" xfId="123" applyFont="1" applyFill="1" applyProtection="1">
      <protection hidden="1"/>
    </xf>
    <xf numFmtId="0" fontId="55" fillId="0" borderId="0" xfId="123" applyFont="1"/>
    <xf numFmtId="0" fontId="9" fillId="0" borderId="0" xfId="55" applyFont="1"/>
    <xf numFmtId="0" fontId="19" fillId="9" borderId="78" xfId="106" applyFont="1" applyFill="1" applyBorder="1">
      <alignment vertical="center"/>
    </xf>
    <xf numFmtId="0" fontId="19" fillId="9" borderId="0" xfId="106" applyFont="1" applyFill="1" applyAlignment="1">
      <alignment horizontal="center" vertical="center"/>
    </xf>
    <xf numFmtId="0" fontId="10" fillId="12" borderId="0" xfId="0" applyFont="1">
      <alignment vertical="center"/>
    </xf>
    <xf numFmtId="0" fontId="8" fillId="10" borderId="0" xfId="0" applyFont="1" applyFill="1" applyAlignment="1">
      <alignment horizontal="center" vertical="center"/>
    </xf>
    <xf numFmtId="0" fontId="8" fillId="2" borderId="5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15" fillId="4" borderId="0" xfId="0"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15" fillId="4" borderId="0" xfId="0" applyFont="1" applyFill="1" applyAlignment="1">
      <alignment vertical="center" shrinkToFit="1"/>
    </xf>
    <xf numFmtId="0" fontId="0" fillId="4" borderId="0" xfId="0" applyFill="1" applyAlignment="1">
      <alignment vertical="center" shrinkToFit="1"/>
    </xf>
    <xf numFmtId="0" fontId="15" fillId="4" borderId="21" xfId="0" applyFont="1" applyFill="1" applyBorder="1" applyAlignment="1" applyProtection="1">
      <alignment vertical="center" shrinkToFit="1"/>
      <protection locked="0"/>
    </xf>
    <xf numFmtId="0" fontId="0" fillId="4" borderId="21" xfId="0" applyFill="1" applyBorder="1" applyAlignment="1" applyProtection="1">
      <alignment vertical="center" shrinkToFit="1"/>
      <protection locked="0"/>
    </xf>
    <xf numFmtId="0" fontId="15" fillId="12" borderId="21" xfId="0" applyFont="1" applyBorder="1" applyAlignment="1">
      <alignment horizontal="center" vertical="center"/>
    </xf>
    <xf numFmtId="0" fontId="15" fillId="5" borderId="64" xfId="0" applyFont="1" applyFill="1" applyBorder="1" applyAlignment="1" applyProtection="1">
      <alignment horizontal="center" vertical="center"/>
      <protection locked="0" hidden="1"/>
    </xf>
    <xf numFmtId="0" fontId="0" fillId="5" borderId="64" xfId="0" applyFill="1" applyBorder="1" applyAlignment="1" applyProtection="1">
      <alignment horizontal="center" vertical="center"/>
      <protection locked="0" hidden="1"/>
    </xf>
    <xf numFmtId="0" fontId="15" fillId="4" borderId="64" xfId="0" applyFont="1" applyFill="1" applyBorder="1" applyAlignment="1" applyProtection="1">
      <alignment vertical="center" shrinkToFit="1"/>
      <protection locked="0"/>
    </xf>
    <xf numFmtId="0" fontId="0" fillId="4" borderId="64" xfId="0" applyFill="1" applyBorder="1" applyAlignment="1" applyProtection="1">
      <alignment vertical="center" shrinkToFit="1"/>
      <protection locked="0"/>
    </xf>
    <xf numFmtId="0" fontId="15" fillId="5" borderId="0" xfId="0" applyFont="1" applyFill="1" applyAlignment="1" applyProtection="1">
      <alignment horizontal="center" vertical="center"/>
      <protection locked="0" hidden="1"/>
    </xf>
    <xf numFmtId="0" fontId="0" fillId="5" borderId="0" xfId="0" applyFill="1" applyAlignment="1" applyProtection="1">
      <alignment horizontal="center" vertical="center"/>
      <protection locked="0" hidden="1"/>
    </xf>
    <xf numFmtId="0" fontId="15" fillId="4" borderId="0" xfId="0" applyFont="1" applyFill="1" applyProtection="1">
      <alignment vertical="center"/>
      <protection locked="0"/>
    </xf>
    <xf numFmtId="0" fontId="15" fillId="4" borderId="0" xfId="0" applyFont="1" applyFill="1" applyAlignment="1" applyProtection="1">
      <alignment vertical="center" shrinkToFit="1"/>
      <protection locked="0" hidden="1"/>
    </xf>
    <xf numFmtId="177" fontId="15" fillId="3" borderId="65" xfId="0" applyNumberFormat="1" applyFont="1" applyFill="1" applyBorder="1" applyAlignment="1" applyProtection="1">
      <alignment horizontal="right" vertical="center" shrinkToFit="1"/>
      <protection locked="0" hidden="1"/>
    </xf>
    <xf numFmtId="177" fontId="0" fillId="3" borderId="65" xfId="0" applyNumberFormat="1" applyFill="1" applyBorder="1" applyAlignment="1" applyProtection="1">
      <alignment vertical="center" shrinkToFit="1"/>
      <protection locked="0" hidden="1"/>
    </xf>
    <xf numFmtId="0" fontId="0" fillId="4" borderId="0" xfId="0" applyFill="1" applyProtection="1">
      <alignment vertical="center"/>
      <protection locked="0"/>
    </xf>
    <xf numFmtId="0" fontId="15" fillId="12" borderId="0" xfId="0" applyFont="1" applyAlignment="1">
      <alignment vertical="center" shrinkToFit="1"/>
    </xf>
    <xf numFmtId="0" fontId="0" fillId="12" borderId="0" xfId="0" applyAlignment="1">
      <alignment vertical="center" shrinkToFit="1"/>
    </xf>
    <xf numFmtId="0" fontId="15" fillId="3" borderId="0" xfId="0" applyFont="1" applyFill="1" applyAlignment="1" applyProtection="1">
      <alignment horizontal="center" vertical="center" shrinkToFit="1"/>
      <protection locked="0" hidden="1"/>
    </xf>
    <xf numFmtId="0" fontId="15" fillId="9" borderId="0" xfId="0" applyFont="1" applyFill="1" applyAlignment="1" applyProtection="1">
      <alignment horizontal="center" vertical="center" shrinkToFit="1"/>
      <protection locked="0" hidden="1"/>
    </xf>
    <xf numFmtId="0" fontId="15" fillId="3" borderId="21" xfId="0" applyFont="1" applyFill="1" applyBorder="1" applyAlignment="1" applyProtection="1">
      <alignment horizontal="center" vertical="center" shrinkToFit="1"/>
      <protection locked="0" hidden="1"/>
    </xf>
    <xf numFmtId="0" fontId="0" fillId="3" borderId="21" xfId="0" applyFill="1" applyBorder="1" applyAlignment="1" applyProtection="1">
      <alignment horizontal="center" vertical="center" shrinkToFit="1"/>
      <protection locked="0" hidden="1"/>
    </xf>
    <xf numFmtId="177" fontId="15" fillId="3" borderId="0" xfId="0" applyNumberFormat="1" applyFont="1" applyFill="1" applyAlignment="1" applyProtection="1">
      <alignment horizontal="right" vertical="center" shrinkToFit="1"/>
      <protection locked="0" hidden="1"/>
    </xf>
    <xf numFmtId="177" fontId="0" fillId="3" borderId="0" xfId="0" applyNumberFormat="1" applyFill="1" applyAlignment="1" applyProtection="1">
      <alignment vertical="center" shrinkToFit="1"/>
      <protection locked="0" hidden="1"/>
    </xf>
    <xf numFmtId="177" fontId="15" fillId="9" borderId="0" xfId="0" applyNumberFormat="1" applyFont="1" applyFill="1" applyAlignment="1" applyProtection="1">
      <alignment horizontal="right" vertical="center" shrinkToFit="1"/>
      <protection locked="0" hidden="1"/>
    </xf>
    <xf numFmtId="177" fontId="0" fillId="9" borderId="0" xfId="0" applyNumberFormat="1" applyFill="1" applyAlignment="1" applyProtection="1">
      <alignment vertical="center" shrinkToFit="1"/>
      <protection locked="0" hidden="1"/>
    </xf>
    <xf numFmtId="0" fontId="0" fillId="12" borderId="0" xfId="0">
      <alignment vertical="center"/>
    </xf>
    <xf numFmtId="0" fontId="15" fillId="4" borderId="0" xfId="0" applyFont="1" applyFill="1" applyAlignment="1" applyProtection="1">
      <alignment horizontal="right" vertical="center"/>
      <protection locked="0"/>
    </xf>
    <xf numFmtId="0" fontId="15" fillId="5" borderId="21" xfId="0" applyFont="1" applyFill="1" applyBorder="1" applyAlignment="1" applyProtection="1">
      <alignment horizontal="center" vertical="center"/>
      <protection locked="0" hidden="1"/>
    </xf>
    <xf numFmtId="0" fontId="0" fillId="5" borderId="21" xfId="0" applyFill="1" applyBorder="1" applyAlignment="1" applyProtection="1">
      <alignment horizontal="center" vertical="center"/>
      <protection locked="0" hidden="1"/>
    </xf>
    <xf numFmtId="188" fontId="15" fillId="12" borderId="0" xfId="0" applyNumberFormat="1" applyFont="1" applyAlignment="1">
      <alignment horizontal="right" vertical="center"/>
    </xf>
    <xf numFmtId="188" fontId="15" fillId="12" borderId="21" xfId="0" applyNumberFormat="1" applyFont="1" applyBorder="1" applyAlignment="1">
      <alignment horizontal="right" vertical="center"/>
    </xf>
    <xf numFmtId="0" fontId="15" fillId="3" borderId="0" xfId="0" applyFont="1" applyFill="1" applyAlignment="1" applyProtection="1">
      <alignment vertical="center" wrapText="1"/>
      <protection locked="0" hidden="1"/>
    </xf>
    <xf numFmtId="0" fontId="14" fillId="3" borderId="0" xfId="0" applyFont="1" applyFill="1" applyAlignment="1" applyProtection="1">
      <alignment vertical="center" wrapText="1"/>
      <protection locked="0" hidden="1"/>
    </xf>
    <xf numFmtId="0" fontId="15" fillId="3" borderId="0" xfId="0" applyFont="1" applyFill="1" applyAlignment="1" applyProtection="1">
      <alignment vertical="center" shrinkToFit="1"/>
      <protection locked="0" hidden="1"/>
    </xf>
    <xf numFmtId="0" fontId="0" fillId="3" borderId="0" xfId="0" applyFill="1" applyAlignment="1" applyProtection="1">
      <alignment vertical="center" shrinkToFit="1"/>
      <protection locked="0" hidden="1"/>
    </xf>
    <xf numFmtId="0" fontId="0" fillId="12" borderId="0" xfId="0" applyAlignment="1" applyProtection="1">
      <alignment vertical="center" shrinkToFit="1"/>
      <protection locked="0" hidden="1"/>
    </xf>
    <xf numFmtId="0" fontId="15" fillId="3" borderId="21" xfId="0" applyFont="1" applyFill="1" applyBorder="1" applyAlignment="1" applyProtection="1">
      <alignment vertical="center" shrinkToFit="1"/>
      <protection locked="0" hidden="1"/>
    </xf>
    <xf numFmtId="0" fontId="0" fillId="12" borderId="21" xfId="0" applyBorder="1" applyAlignment="1" applyProtection="1">
      <alignment vertical="center" shrinkToFit="1"/>
      <protection locked="0" hidden="1"/>
    </xf>
    <xf numFmtId="0" fontId="15" fillId="3" borderId="0" xfId="0" applyFont="1" applyFill="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15" fillId="3" borderId="21" xfId="0" applyFont="1" applyFill="1" applyBorder="1" applyProtection="1">
      <alignment vertical="center"/>
      <protection locked="0"/>
    </xf>
    <xf numFmtId="0" fontId="0" fillId="3" borderId="21" xfId="0" applyFill="1" applyBorder="1">
      <alignment vertical="center"/>
    </xf>
    <xf numFmtId="0" fontId="15" fillId="12" borderId="0" xfId="0" applyFont="1" applyAlignment="1">
      <alignment horizontal="center" vertical="center"/>
    </xf>
    <xf numFmtId="0" fontId="16" fillId="12" borderId="0" xfId="0" applyFont="1" applyAlignment="1">
      <alignment horizontal="center" vertical="center"/>
    </xf>
    <xf numFmtId="0" fontId="16" fillId="12" borderId="0" xfId="0" applyFont="1">
      <alignment vertical="center"/>
    </xf>
    <xf numFmtId="0" fontId="15" fillId="12" borderId="0" xfId="0" applyFont="1">
      <alignment vertical="center"/>
    </xf>
    <xf numFmtId="0" fontId="15" fillId="3" borderId="21" xfId="0" applyFont="1" applyFill="1" applyBorder="1" applyAlignment="1" applyProtection="1">
      <alignment horizontal="right" vertical="center" shrinkToFit="1"/>
      <protection locked="0"/>
    </xf>
    <xf numFmtId="0" fontId="0" fillId="3" borderId="21" xfId="0" applyFill="1" applyBorder="1" applyAlignment="1" applyProtection="1">
      <alignment horizontal="right" vertical="center" shrinkToFit="1"/>
      <protection locked="0"/>
    </xf>
    <xf numFmtId="0" fontId="15" fillId="3" borderId="0" xfId="0" applyFont="1" applyFill="1" applyAlignment="1" applyProtection="1">
      <alignment vertical="center" wrapText="1" shrinkToFit="1"/>
      <protection locked="0" hidden="1"/>
    </xf>
    <xf numFmtId="0" fontId="14" fillId="3" borderId="0" xfId="0" applyFont="1" applyFill="1" applyAlignment="1" applyProtection="1">
      <alignment vertical="center" shrinkToFit="1"/>
      <protection locked="0" hidden="1"/>
    </xf>
    <xf numFmtId="0" fontId="14" fillId="12" borderId="0" xfId="0" applyFont="1" applyAlignment="1">
      <alignment horizontal="center" vertical="center"/>
    </xf>
    <xf numFmtId="0" fontId="14" fillId="12" borderId="21" xfId="0" applyFont="1" applyBorder="1" applyAlignment="1">
      <alignment horizontal="center" vertical="center"/>
    </xf>
    <xf numFmtId="0" fontId="18" fillId="8" borderId="0" xfId="129" applyFont="1" applyFill="1" applyAlignment="1">
      <alignment horizontal="left" vertical="center"/>
    </xf>
    <xf numFmtId="0" fontId="18" fillId="8" borderId="0" xfId="129" applyFont="1" applyFill="1">
      <alignment vertical="center"/>
    </xf>
    <xf numFmtId="0" fontId="18" fillId="9" borderId="0" xfId="129" applyFont="1" applyFill="1">
      <alignment vertical="center"/>
    </xf>
    <xf numFmtId="0" fontId="18" fillId="8" borderId="0" xfId="129" applyFont="1" applyFill="1" applyAlignment="1">
      <alignment horizontal="left" vertical="center" shrinkToFit="1"/>
    </xf>
    <xf numFmtId="0" fontId="18" fillId="0" borderId="0" xfId="129" applyFont="1">
      <alignment vertical="center"/>
    </xf>
    <xf numFmtId="0" fontId="0" fillId="12" borderId="0" xfId="0" applyAlignment="1">
      <alignment horizontal="left" vertical="center"/>
    </xf>
    <xf numFmtId="0" fontId="44" fillId="0" borderId="0" xfId="129" applyFont="1" applyAlignment="1">
      <alignment horizontal="center" vertical="center"/>
    </xf>
    <xf numFmtId="0" fontId="3" fillId="0" borderId="0" xfId="129">
      <alignment vertical="center"/>
    </xf>
    <xf numFmtId="0" fontId="19" fillId="0" borderId="83" xfId="106" applyFont="1" applyBorder="1" applyAlignment="1">
      <alignment horizontal="center" vertical="center" wrapText="1"/>
    </xf>
    <xf numFmtId="0" fontId="19" fillId="0" borderId="10" xfId="106" applyFont="1" applyBorder="1" applyAlignment="1">
      <alignment horizontal="center" vertical="center" wrapText="1"/>
    </xf>
    <xf numFmtId="0" fontId="19" fillId="0" borderId="0" xfId="106" applyFont="1" applyAlignment="1">
      <alignment horizontal="center" vertical="center" wrapText="1"/>
    </xf>
    <xf numFmtId="0" fontId="19" fillId="0" borderId="47" xfId="106" applyFont="1" applyBorder="1" applyAlignment="1">
      <alignment horizontal="center" vertical="center" wrapText="1"/>
    </xf>
    <xf numFmtId="0" fontId="19" fillId="0" borderId="21" xfId="106" applyFont="1" applyBorder="1" applyAlignment="1">
      <alignment horizontal="center" vertical="center" wrapText="1"/>
    </xf>
    <xf numFmtId="0" fontId="19" fillId="0" borderId="49" xfId="106" applyFont="1" applyBorder="1" applyAlignment="1">
      <alignment horizontal="center" vertical="center" wrapText="1"/>
    </xf>
    <xf numFmtId="0" fontId="19" fillId="0" borderId="83" xfId="106" applyFont="1" applyBorder="1" applyAlignment="1">
      <alignment horizontal="center" vertical="center"/>
    </xf>
    <xf numFmtId="0" fontId="19" fillId="0" borderId="10" xfId="106" applyFont="1" applyBorder="1" applyAlignment="1">
      <alignment horizontal="center" vertical="center"/>
    </xf>
    <xf numFmtId="0" fontId="19" fillId="0" borderId="21" xfId="106" applyFont="1" applyBorder="1" applyAlignment="1">
      <alignment horizontal="center" vertical="center"/>
    </xf>
    <xf numFmtId="0" fontId="19" fillId="0" borderId="49" xfId="106" applyFont="1" applyBorder="1" applyAlignment="1">
      <alignment horizontal="center" vertical="center"/>
    </xf>
    <xf numFmtId="49" fontId="19" fillId="9" borderId="0" xfId="106" applyNumberFormat="1" applyFont="1" applyFill="1" applyAlignment="1">
      <alignment horizontal="center" vertical="center"/>
    </xf>
    <xf numFmtId="0" fontId="19" fillId="0" borderId="87" xfId="106" applyFont="1" applyBorder="1" applyAlignment="1">
      <alignment horizontal="center" vertical="center"/>
    </xf>
    <xf numFmtId="0" fontId="19" fillId="0" borderId="89" xfId="106" applyFont="1" applyBorder="1" applyAlignment="1">
      <alignment horizontal="center" vertical="center"/>
    </xf>
    <xf numFmtId="0" fontId="19" fillId="8" borderId="1" xfId="106" applyFont="1" applyFill="1" applyBorder="1" applyAlignment="1">
      <alignment horizontal="left" vertical="center" wrapText="1"/>
    </xf>
    <xf numFmtId="0" fontId="19" fillId="8" borderId="83" xfId="106" applyFont="1" applyFill="1" applyBorder="1" applyAlignment="1">
      <alignment horizontal="left" vertical="center" wrapText="1"/>
    </xf>
    <xf numFmtId="0" fontId="19" fillId="8" borderId="85" xfId="106" applyFont="1" applyFill="1" applyBorder="1" applyAlignment="1">
      <alignment horizontal="left" vertical="center" wrapText="1"/>
    </xf>
    <xf numFmtId="0" fontId="19" fillId="8" borderId="48" xfId="106" applyFont="1" applyFill="1" applyBorder="1" applyAlignment="1">
      <alignment horizontal="left" vertical="center" wrapText="1"/>
    </xf>
    <xf numFmtId="0" fontId="19" fillId="8" borderId="21" xfId="106" applyFont="1" applyFill="1" applyBorder="1" applyAlignment="1">
      <alignment horizontal="left" vertical="center" wrapText="1"/>
    </xf>
    <xf numFmtId="0" fontId="19" fillId="8" borderId="80" xfId="106" applyFont="1" applyFill="1" applyBorder="1" applyAlignment="1">
      <alignment horizontal="left" vertical="center" wrapText="1"/>
    </xf>
    <xf numFmtId="0" fontId="19" fillId="8" borderId="88" xfId="106" applyFont="1" applyFill="1" applyBorder="1" applyAlignment="1">
      <alignment horizontal="left" vertical="center" wrapText="1"/>
    </xf>
    <xf numFmtId="0" fontId="19" fillId="8" borderId="87" xfId="106" applyFont="1" applyFill="1" applyBorder="1" applyAlignment="1">
      <alignment horizontal="left" vertical="center" wrapText="1"/>
    </xf>
    <xf numFmtId="0" fontId="19" fillId="8" borderId="86" xfId="106" applyFont="1" applyFill="1" applyBorder="1" applyAlignment="1">
      <alignment horizontal="left" vertical="center" wrapText="1"/>
    </xf>
    <xf numFmtId="0" fontId="19" fillId="8" borderId="10" xfId="106" applyFont="1" applyFill="1" applyBorder="1" applyAlignment="1">
      <alignment horizontal="left" vertical="center" wrapText="1"/>
    </xf>
    <xf numFmtId="0" fontId="19" fillId="8" borderId="49" xfId="106" applyFont="1" applyFill="1" applyBorder="1" applyAlignment="1">
      <alignment horizontal="left" vertical="center" wrapText="1"/>
    </xf>
    <xf numFmtId="0" fontId="19" fillId="0" borderId="90" xfId="106" applyFont="1" applyBorder="1" applyAlignment="1">
      <alignment horizontal="center" vertical="center" wrapText="1"/>
    </xf>
    <xf numFmtId="0" fontId="19" fillId="0" borderId="87" xfId="106" applyFont="1" applyBorder="1" applyAlignment="1">
      <alignment horizontal="center" vertical="center" wrapText="1"/>
    </xf>
    <xf numFmtId="0" fontId="19" fillId="0" borderId="89" xfId="106" applyFont="1" applyBorder="1" applyAlignment="1">
      <alignment horizontal="center" vertical="center" wrapText="1"/>
    </xf>
    <xf numFmtId="0" fontId="19" fillId="0" borderId="81" xfId="106" applyFont="1" applyBorder="1" applyAlignment="1">
      <alignment horizontal="center" vertical="center" wrapText="1"/>
    </xf>
    <xf numFmtId="0" fontId="19" fillId="0" borderId="84" xfId="106" applyFont="1" applyBorder="1" applyAlignment="1">
      <alignment horizontal="center" vertical="center"/>
    </xf>
    <xf numFmtId="0" fontId="19" fillId="0" borderId="81" xfId="106" applyFont="1" applyBorder="1" applyAlignment="1">
      <alignment horizontal="center" vertical="center"/>
    </xf>
    <xf numFmtId="182" fontId="19" fillId="9" borderId="87" xfId="106" applyNumberFormat="1" applyFont="1" applyFill="1" applyBorder="1" applyAlignment="1">
      <alignment horizontal="center" vertical="center"/>
    </xf>
    <xf numFmtId="182" fontId="19" fillId="9" borderId="21" xfId="106" applyNumberFormat="1" applyFont="1" applyFill="1" applyBorder="1" applyAlignment="1">
      <alignment horizontal="center" vertical="center"/>
    </xf>
    <xf numFmtId="183" fontId="19" fillId="9" borderId="87" xfId="106" applyNumberFormat="1" applyFont="1" applyFill="1" applyBorder="1" applyAlignment="1">
      <alignment horizontal="center" vertical="center"/>
    </xf>
    <xf numFmtId="183" fontId="19" fillId="9" borderId="21" xfId="106" applyNumberFormat="1" applyFont="1" applyFill="1" applyBorder="1" applyAlignment="1">
      <alignment horizontal="center" vertical="center"/>
    </xf>
    <xf numFmtId="0" fontId="19" fillId="0" borderId="88" xfId="106" applyFont="1" applyBorder="1" applyAlignment="1">
      <alignment horizontal="center" vertical="center"/>
    </xf>
    <xf numFmtId="0" fontId="19" fillId="0" borderId="48" xfId="106" applyFont="1" applyBorder="1" applyAlignment="1">
      <alignment horizontal="center" vertical="center"/>
    </xf>
    <xf numFmtId="0" fontId="19" fillId="0" borderId="79" xfId="106" applyFont="1" applyBorder="1" applyAlignment="1">
      <alignment horizontal="center" vertical="center"/>
    </xf>
    <xf numFmtId="0" fontId="19" fillId="0" borderId="78" xfId="106" applyFont="1" applyBorder="1" applyAlignment="1">
      <alignment horizontal="center" vertical="center"/>
    </xf>
    <xf numFmtId="0" fontId="19" fillId="0" borderId="7" xfId="106" applyFont="1" applyBorder="1" applyAlignment="1">
      <alignment horizontal="center" vertical="center"/>
    </xf>
    <xf numFmtId="0" fontId="19" fillId="0" borderId="84" xfId="106" applyFont="1" applyBorder="1" applyAlignment="1">
      <alignment horizontal="center" vertical="center" wrapText="1"/>
    </xf>
    <xf numFmtId="0" fontId="19" fillId="9" borderId="21" xfId="106" applyFont="1" applyFill="1" applyBorder="1" applyAlignment="1">
      <alignment horizontal="center" vertical="center"/>
    </xf>
    <xf numFmtId="184" fontId="19" fillId="9" borderId="87" xfId="106" applyNumberFormat="1" applyFont="1" applyFill="1" applyBorder="1" applyAlignment="1">
      <alignment horizontal="center" vertical="center"/>
    </xf>
    <xf numFmtId="184" fontId="19" fillId="9" borderId="21" xfId="106" applyNumberFormat="1" applyFont="1" applyFill="1" applyBorder="1" applyAlignment="1">
      <alignment horizontal="center" vertical="center"/>
    </xf>
    <xf numFmtId="58" fontId="14" fillId="0" borderId="0" xfId="107" applyNumberFormat="1" applyFont="1" applyAlignment="1">
      <alignment horizontal="center" vertical="center"/>
    </xf>
    <xf numFmtId="58" fontId="15" fillId="0" borderId="0" xfId="107" applyNumberFormat="1" applyFont="1" applyAlignment="1">
      <alignment horizontal="center" vertical="center"/>
    </xf>
    <xf numFmtId="0" fontId="15" fillId="9" borderId="0" xfId="107" applyFont="1" applyFill="1" applyAlignment="1">
      <alignment horizontal="center"/>
    </xf>
    <xf numFmtId="0" fontId="8" fillId="9" borderId="0" xfId="107" applyFont="1" applyFill="1"/>
    <xf numFmtId="0" fontId="15" fillId="0" borderId="0" xfId="107" applyFont="1" applyAlignment="1">
      <alignment horizontal="distributed"/>
    </xf>
    <xf numFmtId="0" fontId="15" fillId="8" borderId="0" xfId="107" applyFont="1" applyFill="1" applyAlignment="1">
      <alignment horizontal="center" vertical="center"/>
    </xf>
    <xf numFmtId="0" fontId="56" fillId="0" borderId="60" xfId="107" applyFont="1" applyBorder="1" applyProtection="1">
      <protection hidden="1"/>
    </xf>
    <xf numFmtId="0" fontId="56" fillId="0" borderId="0" xfId="107" applyFont="1" applyProtection="1">
      <protection hidden="1"/>
    </xf>
    <xf numFmtId="0" fontId="7" fillId="0" borderId="0" xfId="107"/>
    <xf numFmtId="0" fontId="54" fillId="0" borderId="0" xfId="107" applyFont="1" applyAlignment="1" applyProtection="1">
      <alignment horizontal="center" vertical="center"/>
      <protection hidden="1"/>
    </xf>
    <xf numFmtId="0" fontId="54" fillId="37" borderId="0" xfId="107" applyFont="1" applyFill="1" applyAlignment="1" applyProtection="1">
      <alignment horizontal="left" vertical="center"/>
      <protection hidden="1"/>
    </xf>
    <xf numFmtId="0" fontId="8" fillId="37" borderId="0" xfId="107" applyFont="1" applyFill="1" applyAlignment="1">
      <alignment horizontal="left"/>
    </xf>
    <xf numFmtId="0" fontId="15" fillId="0" borderId="60" xfId="107" applyFont="1" applyBorder="1" applyAlignment="1">
      <alignment horizontal="distributed"/>
    </xf>
    <xf numFmtId="0" fontId="15" fillId="0" borderId="47" xfId="107" applyFont="1" applyBorder="1" applyAlignment="1">
      <alignment horizontal="distributed"/>
    </xf>
    <xf numFmtId="0" fontId="15" fillId="8" borderId="0" xfId="107" applyFont="1" applyFill="1" applyAlignment="1">
      <alignment horizontal="center"/>
    </xf>
    <xf numFmtId="0" fontId="15" fillId="0" borderId="60" xfId="107" applyFont="1" applyBorder="1" applyAlignment="1">
      <alignment horizontal="center"/>
    </xf>
    <xf numFmtId="0" fontId="15" fillId="0" borderId="0" xfId="107" applyFont="1" applyAlignment="1">
      <alignment horizontal="center"/>
    </xf>
    <xf numFmtId="0" fontId="15" fillId="0" borderId="47" xfId="107" applyFont="1" applyBorder="1" applyAlignment="1">
      <alignment horizontal="center"/>
    </xf>
    <xf numFmtId="58" fontId="7" fillId="0" borderId="0" xfId="107" applyNumberFormat="1" applyAlignment="1">
      <alignment horizontal="center" vertical="center"/>
    </xf>
    <xf numFmtId="0" fontId="51" fillId="0" borderId="0" xfId="107" applyFont="1" applyAlignment="1" applyProtection="1">
      <alignment horizontal="left" vertical="center"/>
      <protection hidden="1"/>
    </xf>
    <xf numFmtId="0" fontId="51" fillId="0" borderId="0" xfId="107" applyFont="1" applyAlignment="1" applyProtection="1">
      <alignment horizontal="center" vertical="center"/>
      <protection hidden="1"/>
    </xf>
    <xf numFmtId="0" fontId="8" fillId="8" borderId="0" xfId="107" applyFont="1" applyFill="1"/>
    <xf numFmtId="0" fontId="15" fillId="8" borderId="60" xfId="107" applyFont="1" applyFill="1" applyBorder="1" applyAlignment="1">
      <alignment horizontal="center" vertical="center"/>
    </xf>
    <xf numFmtId="0" fontId="15" fillId="8" borderId="47" xfId="107" applyFont="1" applyFill="1" applyBorder="1" applyAlignment="1">
      <alignment horizontal="center" vertical="center"/>
    </xf>
    <xf numFmtId="0" fontId="15" fillId="8" borderId="60" xfId="107" applyFont="1" applyFill="1" applyBorder="1" applyAlignment="1">
      <alignment horizontal="center" wrapText="1"/>
    </xf>
    <xf numFmtId="0" fontId="15" fillId="8" borderId="0" xfId="107" applyFont="1" applyFill="1" applyAlignment="1">
      <alignment horizontal="center" wrapText="1"/>
    </xf>
    <xf numFmtId="0" fontId="15" fillId="8" borderId="47" xfId="107" applyFont="1" applyFill="1" applyBorder="1" applyAlignment="1">
      <alignment horizontal="center" wrapText="1"/>
    </xf>
    <xf numFmtId="0" fontId="50" fillId="0" borderId="60" xfId="107" applyFont="1" applyBorder="1" applyAlignment="1">
      <alignment horizontal="center"/>
    </xf>
    <xf numFmtId="0" fontId="50" fillId="0" borderId="0" xfId="107" applyFont="1" applyAlignment="1">
      <alignment horizontal="center"/>
    </xf>
    <xf numFmtId="0" fontId="50" fillId="0" borderId="47" xfId="107" applyFont="1" applyBorder="1" applyAlignment="1">
      <alignment horizontal="center"/>
    </xf>
    <xf numFmtId="0" fontId="15" fillId="0" borderId="21" xfId="107" applyFont="1" applyBorder="1" applyAlignment="1">
      <alignment horizontal="center"/>
    </xf>
    <xf numFmtId="0" fontId="15" fillId="0" borderId="3" xfId="107" applyFont="1" applyBorder="1" applyAlignment="1">
      <alignment horizontal="center"/>
    </xf>
    <xf numFmtId="0" fontId="15" fillId="0" borderId="78" xfId="107" applyFont="1" applyBorder="1" applyAlignment="1">
      <alignment horizontal="center"/>
    </xf>
    <xf numFmtId="0" fontId="15" fillId="0" borderId="7" xfId="107" applyFont="1" applyBorder="1" applyAlignment="1">
      <alignment horizontal="center"/>
    </xf>
    <xf numFmtId="0" fontId="15" fillId="0" borderId="3" xfId="107" applyFont="1" applyBorder="1" applyAlignment="1">
      <alignment horizontal="center" vertical="center"/>
    </xf>
    <xf numFmtId="0" fontId="7" fillId="0" borderId="78" xfId="107" applyBorder="1" applyAlignment="1">
      <alignment horizontal="center" vertical="center"/>
    </xf>
    <xf numFmtId="0" fontId="7" fillId="0" borderId="7" xfId="107" applyBorder="1" applyAlignment="1">
      <alignment horizontal="center" vertical="center"/>
    </xf>
    <xf numFmtId="0" fontId="49" fillId="0" borderId="60" xfId="107" applyFont="1" applyBorder="1" applyAlignment="1">
      <alignment horizontal="center"/>
    </xf>
    <xf numFmtId="0" fontId="49" fillId="0" borderId="0" xfId="107" applyFont="1" applyAlignment="1">
      <alignment horizontal="center"/>
    </xf>
    <xf numFmtId="0" fontId="49" fillId="0" borderId="47" xfId="107" applyFont="1" applyBorder="1" applyAlignment="1">
      <alignment horizontal="center"/>
    </xf>
    <xf numFmtId="0" fontId="15" fillId="0" borderId="78" xfId="107" applyFont="1" applyBorder="1" applyAlignment="1">
      <alignment horizontal="center" vertical="center"/>
    </xf>
    <xf numFmtId="0" fontId="15" fillId="0" borderId="7" xfId="107" applyFont="1" applyBorder="1" applyAlignment="1">
      <alignment horizontal="center" vertical="center"/>
    </xf>
    <xf numFmtId="0" fontId="50" fillId="0" borderId="48" xfId="107" applyFont="1" applyBorder="1" applyAlignment="1">
      <alignment horizontal="center"/>
    </xf>
    <xf numFmtId="0" fontId="50" fillId="0" borderId="21" xfId="107" applyFont="1" applyBorder="1" applyAlignment="1">
      <alignment horizontal="center"/>
    </xf>
    <xf numFmtId="0" fontId="50" fillId="0" borderId="49" xfId="107" applyFont="1" applyBorder="1" applyAlignment="1">
      <alignment horizontal="center"/>
    </xf>
    <xf numFmtId="0" fontId="65" fillId="0" borderId="0" xfId="109" applyFont="1" applyAlignment="1" applyProtection="1">
      <alignment horizontal="center"/>
      <protection hidden="1"/>
    </xf>
    <xf numFmtId="0" fontId="7" fillId="0" borderId="0" xfId="109"/>
    <xf numFmtId="0" fontId="54" fillId="0" borderId="0" xfId="137" applyFont="1" applyAlignment="1">
      <alignment horizontal="left" vertical="center" wrapText="1"/>
    </xf>
    <xf numFmtId="0" fontId="7" fillId="0" borderId="0" xfId="109" applyAlignment="1">
      <alignment wrapText="1"/>
    </xf>
    <xf numFmtId="0" fontId="51" fillId="0" borderId="0" xfId="109" applyFont="1" applyAlignment="1" applyProtection="1">
      <alignment horizontal="center"/>
      <protection hidden="1"/>
    </xf>
    <xf numFmtId="0" fontId="51" fillId="8" borderId="0" xfId="109" applyFont="1" applyFill="1" applyAlignment="1" applyProtection="1">
      <alignment horizontal="left" vertical="center" wrapText="1"/>
      <protection hidden="1"/>
    </xf>
    <xf numFmtId="0" fontId="54" fillId="8" borderId="0" xfId="109" applyFont="1" applyFill="1" applyAlignment="1" applyProtection="1">
      <alignment vertical="center" wrapText="1"/>
      <protection hidden="1"/>
    </xf>
    <xf numFmtId="0" fontId="51" fillId="9" borderId="0" xfId="109" applyFont="1" applyFill="1" applyAlignment="1" applyProtection="1">
      <alignment horizontal="center"/>
      <protection locked="0"/>
    </xf>
    <xf numFmtId="0" fontId="54" fillId="8" borderId="0" xfId="109" applyFont="1" applyFill="1" applyAlignment="1" applyProtection="1">
      <alignment horizontal="left" vertical="center" shrinkToFit="1"/>
      <protection hidden="1"/>
    </xf>
    <xf numFmtId="182" fontId="63" fillId="8" borderId="0" xfId="109" applyNumberFormat="1" applyFont="1" applyFill="1" applyAlignment="1">
      <alignment horizontal="center"/>
    </xf>
    <xf numFmtId="183" fontId="63" fillId="8" borderId="0" xfId="109" applyNumberFormat="1" applyFont="1" applyFill="1" applyAlignment="1">
      <alignment horizontal="center"/>
    </xf>
    <xf numFmtId="184" fontId="63" fillId="8" borderId="0" xfId="109" applyNumberFormat="1" applyFont="1" applyFill="1" applyAlignment="1">
      <alignment horizontal="center"/>
    </xf>
    <xf numFmtId="0" fontId="51" fillId="8" borderId="0" xfId="109" applyFont="1" applyFill="1" applyAlignment="1" applyProtection="1">
      <alignment horizontal="left"/>
      <protection hidden="1"/>
    </xf>
    <xf numFmtId="0" fontId="51" fillId="0" borderId="0" xfId="109" applyFont="1" applyAlignment="1" applyProtection="1">
      <alignment horizontal="left"/>
      <protection hidden="1"/>
    </xf>
    <xf numFmtId="191" fontId="51" fillId="8" borderId="0" xfId="109" applyNumberFormat="1" applyFont="1" applyFill="1" applyAlignment="1" applyProtection="1">
      <alignment horizontal="center"/>
      <protection hidden="1"/>
    </xf>
    <xf numFmtId="0" fontId="51" fillId="8" borderId="0" xfId="109" applyFont="1" applyFill="1" applyAlignment="1" applyProtection="1">
      <alignment horizontal="distributed"/>
      <protection hidden="1"/>
    </xf>
    <xf numFmtId="0" fontId="68" fillId="0" borderId="0" xfId="71" applyFont="1" applyAlignment="1">
      <alignment horizontal="center" vertical="center"/>
    </xf>
    <xf numFmtId="0" fontId="66" fillId="8" borderId="0" xfId="71" applyFont="1" applyFill="1" applyAlignment="1">
      <alignment horizontal="left" vertical="center"/>
    </xf>
    <xf numFmtId="0" fontId="66" fillId="8" borderId="21" xfId="71" applyFont="1" applyFill="1" applyBorder="1" applyAlignment="1">
      <alignment horizontal="left" vertical="center"/>
    </xf>
    <xf numFmtId="0" fontId="65" fillId="0" borderId="0" xfId="119" applyFont="1" applyAlignment="1">
      <alignment horizontal="center" vertical="center"/>
    </xf>
    <xf numFmtId="0" fontId="53" fillId="9" borderId="21" xfId="119" applyFont="1" applyFill="1" applyBorder="1" applyAlignment="1">
      <alignment horizontal="center" vertical="center" shrinkToFit="1"/>
    </xf>
    <xf numFmtId="0" fontId="54" fillId="8" borderId="0" xfId="119" applyFont="1" applyFill="1" applyAlignment="1" applyProtection="1">
      <alignment horizontal="left" vertical="center"/>
      <protection hidden="1"/>
    </xf>
    <xf numFmtId="0" fontId="53" fillId="8" borderId="21" xfId="119" applyFont="1" applyFill="1" applyBorder="1" applyAlignment="1">
      <alignment horizontal="center" vertical="center" shrinkToFit="1"/>
    </xf>
    <xf numFmtId="0" fontId="53" fillId="9" borderId="35" xfId="119" applyFont="1" applyFill="1" applyBorder="1" applyAlignment="1">
      <alignment horizontal="left" vertical="center" indent="1"/>
    </xf>
    <xf numFmtId="0" fontId="53" fillId="9" borderId="33" xfId="119" applyFont="1" applyFill="1" applyBorder="1" applyAlignment="1">
      <alignment horizontal="left" vertical="center" indent="1"/>
    </xf>
    <xf numFmtId="0" fontId="53" fillId="9" borderId="53" xfId="119" applyFont="1" applyFill="1" applyBorder="1" applyAlignment="1">
      <alignment horizontal="left" vertical="center" indent="1"/>
    </xf>
    <xf numFmtId="0" fontId="53" fillId="0" borderId="96" xfId="119" applyFont="1" applyBorder="1" applyAlignment="1">
      <alignment horizontal="distributed" vertical="center"/>
    </xf>
    <xf numFmtId="0" fontId="53" fillId="0" borderId="83" xfId="119" applyFont="1" applyBorder="1" applyAlignment="1">
      <alignment horizontal="distributed" vertical="center"/>
    </xf>
    <xf numFmtId="0" fontId="53" fillId="0" borderId="95" xfId="119" applyFont="1" applyBorder="1" applyAlignment="1">
      <alignment horizontal="distributed" vertical="center"/>
    </xf>
    <xf numFmtId="0" fontId="53" fillId="0" borderId="60" xfId="119" applyFont="1" applyBorder="1" applyAlignment="1">
      <alignment horizontal="distributed" vertical="center"/>
    </xf>
    <xf numFmtId="0" fontId="53" fillId="0" borderId="0" xfId="119" applyFont="1" applyAlignment="1">
      <alignment horizontal="distributed" vertical="center"/>
    </xf>
    <xf numFmtId="0" fontId="53" fillId="0" borderId="47" xfId="119" applyFont="1" applyBorder="1" applyAlignment="1">
      <alignment horizontal="distributed" vertical="center"/>
    </xf>
    <xf numFmtId="0" fontId="53" fillId="0" borderId="48" xfId="119" applyFont="1" applyBorder="1" applyAlignment="1">
      <alignment horizontal="distributed" vertical="center"/>
    </xf>
    <xf numFmtId="0" fontId="53" fillId="0" borderId="21" xfId="119" applyFont="1" applyBorder="1" applyAlignment="1">
      <alignment horizontal="distributed" vertical="center"/>
    </xf>
    <xf numFmtId="0" fontId="53" fillId="0" borderId="49" xfId="119" applyFont="1" applyBorder="1" applyAlignment="1">
      <alignment horizontal="distributed" vertical="center"/>
    </xf>
    <xf numFmtId="0" fontId="53" fillId="9" borderId="21" xfId="119" applyFont="1" applyFill="1" applyBorder="1" applyAlignment="1">
      <alignment horizontal="left" vertical="center"/>
    </xf>
    <xf numFmtId="0" fontId="53" fillId="9" borderId="49" xfId="119" applyFont="1" applyFill="1" applyBorder="1" applyAlignment="1">
      <alignment horizontal="left" vertical="center"/>
    </xf>
    <xf numFmtId="0" fontId="53" fillId="8" borderId="97" xfId="119" applyFont="1" applyFill="1" applyBorder="1" applyAlignment="1">
      <alignment horizontal="center" vertical="center"/>
    </xf>
    <xf numFmtId="0" fontId="53" fillId="9" borderId="75" xfId="119" applyFont="1" applyFill="1" applyBorder="1" applyAlignment="1">
      <alignment horizontal="left" vertical="center"/>
    </xf>
    <xf numFmtId="0" fontId="53" fillId="9" borderId="11" xfId="119" applyFont="1" applyFill="1" applyBorder="1" applyAlignment="1">
      <alignment horizontal="left" vertical="center"/>
    </xf>
    <xf numFmtId="183" fontId="54" fillId="8" borderId="0" xfId="109" applyNumberFormat="1" applyFont="1" applyFill="1" applyAlignment="1">
      <alignment horizontal="center"/>
    </xf>
    <xf numFmtId="184" fontId="54" fillId="8" borderId="0" xfId="109" applyNumberFormat="1" applyFont="1" applyFill="1" applyAlignment="1">
      <alignment horizontal="center"/>
    </xf>
    <xf numFmtId="191" fontId="54" fillId="8" borderId="0" xfId="109" applyNumberFormat="1" applyFont="1" applyFill="1" applyAlignment="1" applyProtection="1">
      <alignment horizontal="center"/>
      <protection hidden="1"/>
    </xf>
    <xf numFmtId="0" fontId="54" fillId="8" borderId="0" xfId="109" applyFont="1" applyFill="1" applyAlignment="1" applyProtection="1">
      <alignment horizontal="distributed"/>
      <protection hidden="1"/>
    </xf>
    <xf numFmtId="0" fontId="53" fillId="0" borderId="21" xfId="119" applyFont="1" applyBorder="1" applyAlignment="1">
      <alignment horizontal="center" vertical="center"/>
    </xf>
    <xf numFmtId="0" fontId="54" fillId="8" borderId="0" xfId="119" applyFont="1" applyFill="1" applyAlignment="1" applyProtection="1">
      <alignment vertical="center" wrapText="1"/>
      <protection hidden="1"/>
    </xf>
    <xf numFmtId="0" fontId="53" fillId="0" borderId="0" xfId="119" applyFont="1" applyAlignment="1">
      <alignment horizontal="left" vertical="center"/>
    </xf>
    <xf numFmtId="0" fontId="53" fillId="0" borderId="97" xfId="119" applyFont="1" applyBorder="1" applyAlignment="1">
      <alignment horizontal="center" vertical="center"/>
    </xf>
    <xf numFmtId="0" fontId="53" fillId="0" borderId="0" xfId="119" applyFont="1" applyAlignment="1">
      <alignment horizontal="center" vertical="center"/>
    </xf>
    <xf numFmtId="0" fontId="53" fillId="8" borderId="33" xfId="119" applyFont="1" applyFill="1" applyBorder="1" applyAlignment="1">
      <alignment horizontal="center" vertical="center"/>
    </xf>
    <xf numFmtId="0" fontId="53" fillId="8" borderId="97" xfId="119" applyFont="1" applyFill="1" applyBorder="1" applyAlignment="1">
      <alignment horizontal="right" vertical="center"/>
    </xf>
    <xf numFmtId="0" fontId="53" fillId="8" borderId="97" xfId="119" applyFont="1" applyFill="1" applyBorder="1" applyAlignment="1">
      <alignment vertical="center"/>
    </xf>
    <xf numFmtId="0" fontId="53" fillId="9" borderId="33" xfId="119" applyFont="1" applyFill="1" applyBorder="1" applyAlignment="1">
      <alignment horizontal="center" vertical="center"/>
    </xf>
    <xf numFmtId="0" fontId="53" fillId="9" borderId="33" xfId="119" applyFont="1" applyFill="1" applyBorder="1" applyAlignment="1">
      <alignment horizontal="center" vertical="center" shrinkToFit="1"/>
    </xf>
    <xf numFmtId="0" fontId="53" fillId="8" borderId="33" xfId="119" applyFont="1" applyFill="1" applyBorder="1" applyAlignment="1">
      <alignment horizontal="center" vertical="center" shrinkToFit="1"/>
    </xf>
    <xf numFmtId="0" fontId="53" fillId="8" borderId="75" xfId="119" applyFont="1" applyFill="1" applyBorder="1" applyAlignment="1">
      <alignment horizontal="left" vertical="center"/>
    </xf>
    <xf numFmtId="0" fontId="53" fillId="8" borderId="11" xfId="119" applyFont="1" applyFill="1" applyBorder="1" applyAlignment="1">
      <alignment horizontal="left" vertical="center"/>
    </xf>
    <xf numFmtId="0" fontId="53" fillId="9" borderId="97" xfId="119" applyFont="1" applyFill="1" applyBorder="1" applyAlignment="1">
      <alignment horizontal="center" vertical="center"/>
    </xf>
    <xf numFmtId="0" fontId="53" fillId="9" borderId="97" xfId="119" applyFont="1" applyFill="1" applyBorder="1" applyAlignment="1">
      <alignment vertical="center"/>
    </xf>
    <xf numFmtId="0" fontId="53" fillId="9" borderId="97" xfId="119" applyFont="1" applyFill="1" applyBorder="1" applyAlignment="1">
      <alignment horizontal="right" vertical="center"/>
    </xf>
    <xf numFmtId="0" fontId="53" fillId="9" borderId="21" xfId="119" applyFont="1" applyFill="1" applyBorder="1" applyAlignment="1">
      <alignment vertical="center"/>
    </xf>
    <xf numFmtId="0" fontId="53" fillId="0" borderId="96" xfId="119" applyFont="1" applyBorder="1" applyAlignment="1">
      <alignment horizontal="center" vertical="center" wrapText="1"/>
    </xf>
    <xf numFmtId="0" fontId="53" fillId="0" borderId="83" xfId="119" applyFont="1" applyBorder="1" applyAlignment="1">
      <alignment horizontal="center" vertical="center" wrapText="1"/>
    </xf>
    <xf numFmtId="0" fontId="53" fillId="0" borderId="48" xfId="119" applyFont="1" applyBorder="1" applyAlignment="1">
      <alignment horizontal="center" vertical="center" wrapText="1"/>
    </xf>
    <xf numFmtId="0" fontId="53" fillId="0" borderId="21" xfId="119" applyFont="1" applyBorder="1" applyAlignment="1">
      <alignment horizontal="center" vertical="center" wrapText="1"/>
    </xf>
    <xf numFmtId="0" fontId="53" fillId="9" borderId="96" xfId="119" applyFont="1" applyFill="1" applyBorder="1" applyAlignment="1">
      <alignment horizontal="left" vertical="center" indent="1"/>
    </xf>
    <xf numFmtId="0" fontId="53" fillId="9" borderId="83" xfId="119" applyFont="1" applyFill="1" applyBorder="1" applyAlignment="1">
      <alignment horizontal="left" vertical="center" indent="1"/>
    </xf>
    <xf numFmtId="0" fontId="53" fillId="9" borderId="95" xfId="119" applyFont="1" applyFill="1" applyBorder="1" applyAlignment="1">
      <alignment horizontal="left" vertical="center" indent="1"/>
    </xf>
    <xf numFmtId="0" fontId="53" fillId="9" borderId="48" xfId="119" applyFont="1" applyFill="1" applyBorder="1" applyAlignment="1">
      <alignment horizontal="left" vertical="center" indent="1"/>
    </xf>
    <xf numFmtId="0" fontId="53" fillId="9" borderId="21" xfId="119" applyFont="1" applyFill="1" applyBorder="1" applyAlignment="1">
      <alignment horizontal="left" vertical="center" indent="1"/>
    </xf>
    <xf numFmtId="0" fontId="53" fillId="9" borderId="49" xfId="119" applyFont="1" applyFill="1" applyBorder="1" applyAlignment="1">
      <alignment horizontal="left" vertical="center" indent="1"/>
    </xf>
    <xf numFmtId="0" fontId="53" fillId="0" borderId="96" xfId="119" applyFont="1" applyBorder="1" applyAlignment="1">
      <alignment horizontal="center" vertical="center"/>
    </xf>
    <xf numFmtId="0" fontId="53" fillId="0" borderId="83" xfId="119" applyFont="1" applyBorder="1" applyAlignment="1">
      <alignment horizontal="center" vertical="center"/>
    </xf>
    <xf numFmtId="0" fontId="53" fillId="0" borderId="95" xfId="119" applyFont="1" applyBorder="1" applyAlignment="1">
      <alignment horizontal="center" vertical="center"/>
    </xf>
    <xf numFmtId="0" fontId="53" fillId="0" borderId="60" xfId="119" applyFont="1" applyBorder="1" applyAlignment="1">
      <alignment horizontal="center" vertical="center"/>
    </xf>
    <xf numFmtId="0" fontId="53" fillId="0" borderId="47" xfId="119" applyFont="1" applyBorder="1" applyAlignment="1">
      <alignment horizontal="center" vertical="center"/>
    </xf>
    <xf numFmtId="0" fontId="53" fillId="9" borderId="35" xfId="119" applyFont="1" applyFill="1" applyBorder="1" applyAlignment="1">
      <alignment horizontal="center" vertical="center"/>
    </xf>
    <xf numFmtId="0" fontId="53" fillId="9" borderId="53" xfId="119" applyFont="1" applyFill="1" applyBorder="1" applyAlignment="1">
      <alignment horizontal="center" vertical="center"/>
    </xf>
    <xf numFmtId="0" fontId="53" fillId="0" borderId="51" xfId="119" applyFont="1" applyBorder="1" applyAlignment="1">
      <alignment horizontal="left" vertical="center" wrapText="1"/>
    </xf>
    <xf numFmtId="0" fontId="53" fillId="0" borderId="97" xfId="119" applyFont="1" applyBorder="1" applyAlignment="1">
      <alignment horizontal="left" vertical="center" wrapText="1"/>
    </xf>
    <xf numFmtId="0" fontId="53" fillId="9" borderId="60" xfId="119" applyFont="1" applyFill="1" applyBorder="1" applyAlignment="1">
      <alignment horizontal="center" vertical="center"/>
    </xf>
    <xf numFmtId="0" fontId="53" fillId="9" borderId="0" xfId="119" applyFont="1" applyFill="1" applyAlignment="1">
      <alignment horizontal="center" vertical="center"/>
    </xf>
    <xf numFmtId="0" fontId="53" fillId="8" borderId="21" xfId="119" applyFont="1" applyFill="1" applyBorder="1" applyAlignment="1">
      <alignment horizontal="left" vertical="center"/>
    </xf>
    <xf numFmtId="0" fontId="53" fillId="8" borderId="35" xfId="119" applyFont="1" applyFill="1" applyBorder="1" applyAlignment="1">
      <alignment horizontal="left" vertical="center" indent="1"/>
    </xf>
    <xf numFmtId="0" fontId="53" fillId="8" borderId="33" xfId="119" applyFont="1" applyFill="1" applyBorder="1" applyAlignment="1">
      <alignment horizontal="left" vertical="center" indent="1"/>
    </xf>
    <xf numFmtId="0" fontId="53" fillId="8" borderId="53" xfId="119" applyFont="1" applyFill="1" applyBorder="1" applyAlignment="1">
      <alignment horizontal="left" vertical="center" indent="1"/>
    </xf>
    <xf numFmtId="0" fontId="53" fillId="0" borderId="48" xfId="119" applyFont="1" applyBorder="1" applyAlignment="1">
      <alignment horizontal="center" vertical="center"/>
    </xf>
    <xf numFmtId="0" fontId="53" fillId="0" borderId="49" xfId="119" applyFont="1" applyBorder="1" applyAlignment="1">
      <alignment horizontal="center" vertical="center"/>
    </xf>
    <xf numFmtId="0" fontId="53" fillId="0" borderId="48" xfId="119" applyFont="1" applyBorder="1" applyAlignment="1">
      <alignment horizontal="left" vertical="center"/>
    </xf>
    <xf numFmtId="0" fontId="53" fillId="0" borderId="21" xfId="119" applyFont="1" applyBorder="1" applyAlignment="1">
      <alignment horizontal="left" vertical="center"/>
    </xf>
    <xf numFmtId="0" fontId="53" fillId="9" borderId="33" xfId="119" applyFont="1" applyFill="1" applyBorder="1" applyAlignment="1">
      <alignment vertical="center"/>
    </xf>
    <xf numFmtId="0" fontId="53" fillId="9" borderId="92" xfId="119" applyFont="1" applyFill="1" applyBorder="1" applyAlignment="1">
      <alignment horizontal="left" vertical="center"/>
    </xf>
    <xf numFmtId="0" fontId="53" fillId="9" borderId="91" xfId="119" applyFont="1" applyFill="1" applyBorder="1" applyAlignment="1">
      <alignment horizontal="left" vertical="center"/>
    </xf>
    <xf numFmtId="0" fontId="53" fillId="8" borderId="60" xfId="119" applyFont="1" applyFill="1" applyBorder="1" applyAlignment="1">
      <alignment horizontal="center" vertical="center"/>
    </xf>
    <xf numFmtId="0" fontId="53" fillId="8" borderId="0" xfId="119" applyFont="1" applyFill="1" applyAlignment="1">
      <alignment horizontal="center" vertical="center"/>
    </xf>
    <xf numFmtId="0" fontId="53" fillId="8" borderId="21" xfId="119" applyFont="1" applyFill="1" applyBorder="1" applyAlignment="1">
      <alignment horizontal="left" vertical="center" shrinkToFit="1"/>
    </xf>
    <xf numFmtId="0" fontId="53" fillId="9" borderId="21" xfId="119" applyFont="1" applyFill="1" applyBorder="1" applyAlignment="1">
      <alignment horizontal="left" vertical="center" shrinkToFit="1"/>
    </xf>
    <xf numFmtId="0" fontId="53" fillId="8" borderId="75" xfId="119" applyFont="1" applyFill="1" applyBorder="1" applyAlignment="1">
      <alignment horizontal="left" vertical="center" shrinkToFit="1"/>
    </xf>
    <xf numFmtId="0" fontId="53" fillId="8" borderId="11" xfId="119" applyFont="1" applyFill="1" applyBorder="1" applyAlignment="1">
      <alignment horizontal="left" vertical="center" shrinkToFit="1"/>
    </xf>
    <xf numFmtId="0" fontId="53" fillId="8" borderId="21" xfId="119" applyFont="1" applyFill="1" applyBorder="1" applyAlignment="1">
      <alignment vertical="center"/>
    </xf>
    <xf numFmtId="0" fontId="53" fillId="8" borderId="92" xfId="119" applyFont="1" applyFill="1" applyBorder="1" applyAlignment="1">
      <alignment horizontal="left" vertical="center"/>
    </xf>
    <xf numFmtId="0" fontId="53" fillId="8" borderId="91" xfId="119" applyFont="1" applyFill="1" applyBorder="1" applyAlignment="1">
      <alignment horizontal="left" vertical="center"/>
    </xf>
    <xf numFmtId="0" fontId="53" fillId="8" borderId="33" xfId="119" applyFont="1" applyFill="1" applyBorder="1" applyAlignment="1">
      <alignment vertical="center"/>
    </xf>
    <xf numFmtId="0" fontId="54" fillId="8" borderId="0" xfId="119" applyFont="1" applyFill="1" applyAlignment="1" applyProtection="1">
      <alignment vertical="center" wrapText="1" shrinkToFit="1"/>
      <protection hidden="1"/>
    </xf>
    <xf numFmtId="0" fontId="53" fillId="0" borderId="95" xfId="119" applyFont="1" applyBorder="1" applyAlignment="1">
      <alignment horizontal="center" vertical="center" wrapText="1"/>
    </xf>
    <xf numFmtId="0" fontId="53" fillId="0" borderId="60" xfId="119" applyFont="1" applyBorder="1" applyAlignment="1">
      <alignment horizontal="center" vertical="center" wrapText="1"/>
    </xf>
    <xf numFmtId="0" fontId="53" fillId="0" borderId="0" xfId="119" applyFont="1" applyAlignment="1">
      <alignment horizontal="center" vertical="center" wrapText="1"/>
    </xf>
    <xf numFmtId="0" fontId="53" fillId="0" borderId="47" xfId="119" applyFont="1" applyBorder="1" applyAlignment="1">
      <alignment horizontal="center" vertical="center" wrapText="1"/>
    </xf>
    <xf numFmtId="0" fontId="53" fillId="0" borderId="49" xfId="119" applyFont="1" applyBorder="1" applyAlignment="1">
      <alignment horizontal="center" vertical="center" wrapText="1"/>
    </xf>
    <xf numFmtId="0" fontId="53" fillId="8" borderId="35" xfId="119" applyFont="1" applyFill="1" applyBorder="1" applyAlignment="1">
      <alignment horizontal="left" vertical="center" indent="1" shrinkToFit="1"/>
    </xf>
    <xf numFmtId="0" fontId="53" fillId="8" borderId="33" xfId="119" applyFont="1" applyFill="1" applyBorder="1" applyAlignment="1">
      <alignment horizontal="left" vertical="center" indent="1" shrinkToFit="1"/>
    </xf>
    <xf numFmtId="0" fontId="53" fillId="8" borderId="53" xfId="119" applyFont="1" applyFill="1" applyBorder="1" applyAlignment="1">
      <alignment horizontal="left" vertical="center" indent="1" shrinkToFit="1"/>
    </xf>
    <xf numFmtId="0" fontId="53" fillId="8" borderId="48" xfId="119" applyFont="1" applyFill="1" applyBorder="1" applyAlignment="1">
      <alignment horizontal="left" vertical="center" indent="1" shrinkToFit="1"/>
    </xf>
    <xf numFmtId="0" fontId="53" fillId="8" borderId="21" xfId="119" applyFont="1" applyFill="1" applyBorder="1" applyAlignment="1">
      <alignment horizontal="left" vertical="center" indent="1" shrinkToFit="1"/>
    </xf>
    <xf numFmtId="0" fontId="53" fillId="8" borderId="49" xfId="119" applyFont="1" applyFill="1" applyBorder="1" applyAlignment="1">
      <alignment horizontal="left" vertical="center"/>
    </xf>
    <xf numFmtId="0" fontId="53" fillId="9" borderId="48" xfId="119" applyFont="1" applyFill="1" applyBorder="1" applyAlignment="1">
      <alignment horizontal="center" vertical="center"/>
    </xf>
    <xf numFmtId="0" fontId="53" fillId="9" borderId="21" xfId="119" applyFont="1" applyFill="1" applyBorder="1" applyAlignment="1">
      <alignment horizontal="center" vertical="center"/>
    </xf>
    <xf numFmtId="0" fontId="54" fillId="0" borderId="83" xfId="119" applyFont="1" applyBorder="1" applyAlignment="1" applyProtection="1">
      <alignment horizontal="center" vertical="center"/>
      <protection hidden="1"/>
    </xf>
    <xf numFmtId="182" fontId="54" fillId="8" borderId="0" xfId="109" applyNumberFormat="1" applyFont="1" applyFill="1" applyAlignment="1">
      <alignment horizontal="center"/>
    </xf>
    <xf numFmtId="0" fontId="54" fillId="0" borderId="0" xfId="109" applyFont="1" applyAlignment="1" applyProtection="1">
      <alignment horizontal="left"/>
      <protection hidden="1"/>
    </xf>
    <xf numFmtId="0" fontId="53" fillId="0" borderId="3" xfId="119" applyFont="1" applyBorder="1" applyAlignment="1">
      <alignment horizontal="center" vertical="center"/>
    </xf>
    <xf numFmtId="0" fontId="53" fillId="0" borderId="78" xfId="119" applyFont="1" applyBorder="1" applyAlignment="1">
      <alignment horizontal="center" vertical="center"/>
    </xf>
    <xf numFmtId="0" fontId="53" fillId="0" borderId="98" xfId="119" applyFont="1" applyBorder="1" applyAlignment="1">
      <alignment horizontal="center" vertical="center"/>
    </xf>
    <xf numFmtId="0" fontId="54" fillId="8" borderId="0" xfId="109" applyFont="1" applyFill="1" applyAlignment="1" applyProtection="1">
      <alignment horizontal="left"/>
      <protection hidden="1"/>
    </xf>
    <xf numFmtId="0" fontId="53" fillId="9" borderId="33" xfId="120" applyFont="1" applyFill="1" applyBorder="1" applyAlignment="1">
      <alignment horizontal="center" vertical="center"/>
    </xf>
    <xf numFmtId="0" fontId="53" fillId="9" borderId="33" xfId="120" applyFont="1" applyFill="1" applyBorder="1" applyAlignment="1">
      <alignment horizontal="center" vertical="center" shrinkToFit="1"/>
    </xf>
    <xf numFmtId="0" fontId="53" fillId="9" borderId="33" xfId="120" applyFont="1" applyFill="1" applyBorder="1" applyAlignment="1">
      <alignment vertical="center"/>
    </xf>
    <xf numFmtId="0" fontId="53" fillId="0" borderId="48" xfId="120" applyFont="1" applyBorder="1" applyAlignment="1">
      <alignment horizontal="left" vertical="center"/>
    </xf>
    <xf numFmtId="0" fontId="53" fillId="0" borderId="21" xfId="120" applyFont="1" applyBorder="1" applyAlignment="1">
      <alignment horizontal="left" vertical="center"/>
    </xf>
    <xf numFmtId="0" fontId="53" fillId="9" borderId="21" xfId="120" applyFont="1" applyFill="1" applyBorder="1" applyAlignment="1">
      <alignment horizontal="left" vertical="center"/>
    </xf>
    <xf numFmtId="0" fontId="53" fillId="9" borderId="92" xfId="120" applyFont="1" applyFill="1" applyBorder="1" applyAlignment="1">
      <alignment horizontal="left" vertical="center"/>
    </xf>
    <xf numFmtId="0" fontId="53" fillId="9" borderId="91" xfId="120" applyFont="1" applyFill="1" applyBorder="1" applyAlignment="1">
      <alignment horizontal="left" vertical="center"/>
    </xf>
    <xf numFmtId="0" fontId="53" fillId="9" borderId="75" xfId="120" applyFont="1" applyFill="1" applyBorder="1" applyAlignment="1">
      <alignment horizontal="left" vertical="center"/>
    </xf>
    <xf numFmtId="0" fontId="53" fillId="9" borderId="11" xfId="120" applyFont="1" applyFill="1" applyBorder="1" applyAlignment="1">
      <alignment horizontal="left" vertical="center"/>
    </xf>
    <xf numFmtId="0" fontId="53" fillId="0" borderId="96" xfId="120" applyFont="1" applyBorder="1" applyAlignment="1">
      <alignment horizontal="center" vertical="center"/>
    </xf>
    <xf numFmtId="0" fontId="53" fillId="0" borderId="83" xfId="120" applyFont="1" applyBorder="1" applyAlignment="1">
      <alignment horizontal="center" vertical="center"/>
    </xf>
    <xf numFmtId="0" fontId="53" fillId="0" borderId="95" xfId="120" applyFont="1" applyBorder="1" applyAlignment="1">
      <alignment horizontal="center" vertical="center"/>
    </xf>
    <xf numFmtId="0" fontId="53" fillId="0" borderId="60" xfId="120" applyFont="1" applyBorder="1" applyAlignment="1">
      <alignment horizontal="center" vertical="center"/>
    </xf>
    <xf numFmtId="0" fontId="53" fillId="0" borderId="0" xfId="120" applyFont="1" applyAlignment="1">
      <alignment horizontal="center" vertical="center"/>
    </xf>
    <xf numFmtId="0" fontId="53" fillId="0" borderId="47" xfId="120" applyFont="1" applyBorder="1" applyAlignment="1">
      <alignment horizontal="center" vertical="center"/>
    </xf>
    <xf numFmtId="0" fontId="53" fillId="0" borderId="48" xfId="120" applyFont="1" applyBorder="1" applyAlignment="1">
      <alignment horizontal="center" vertical="center"/>
    </xf>
    <xf numFmtId="0" fontId="53" fillId="0" borderId="21" xfId="120" applyFont="1" applyBorder="1" applyAlignment="1">
      <alignment horizontal="center" vertical="center"/>
    </xf>
    <xf numFmtId="0" fontId="53" fillId="0" borderId="49" xfId="120" applyFont="1" applyBorder="1" applyAlignment="1">
      <alignment horizontal="center" vertical="center"/>
    </xf>
    <xf numFmtId="0" fontId="53" fillId="9" borderId="97" xfId="120" applyFont="1" applyFill="1" applyBorder="1" applyAlignment="1">
      <alignment vertical="center"/>
    </xf>
    <xf numFmtId="0" fontId="53" fillId="9" borderId="97" xfId="120" applyFont="1" applyFill="1" applyBorder="1" applyAlignment="1">
      <alignment horizontal="right" vertical="center"/>
    </xf>
    <xf numFmtId="0" fontId="53" fillId="0" borderId="97" xfId="120" applyFont="1" applyBorder="1" applyAlignment="1">
      <alignment horizontal="center" vertical="center"/>
    </xf>
    <xf numFmtId="0" fontId="53" fillId="9" borderId="97" xfId="120" applyFont="1" applyFill="1" applyBorder="1" applyAlignment="1">
      <alignment horizontal="center" vertical="center"/>
    </xf>
    <xf numFmtId="0" fontId="53" fillId="0" borderId="0" xfId="120" applyFont="1" applyAlignment="1">
      <alignment horizontal="left" vertical="center"/>
    </xf>
    <xf numFmtId="0" fontId="65" fillId="0" borderId="0" xfId="120" applyFont="1" applyAlignment="1">
      <alignment horizontal="center" vertical="center"/>
    </xf>
    <xf numFmtId="0" fontId="51" fillId="0" borderId="96" xfId="122" applyFont="1" applyBorder="1" applyAlignment="1">
      <alignment horizontal="center" vertical="center" wrapText="1"/>
    </xf>
    <xf numFmtId="0" fontId="51" fillId="0" borderId="83" xfId="122" applyFont="1" applyBorder="1" applyAlignment="1">
      <alignment horizontal="center" vertical="center" wrapText="1"/>
    </xf>
    <xf numFmtId="0" fontId="51" fillId="0" borderId="95" xfId="122" applyFont="1" applyBorder="1" applyAlignment="1">
      <alignment horizontal="center" vertical="center" wrapText="1"/>
    </xf>
    <xf numFmtId="0" fontId="51" fillId="0" borderId="48" xfId="122" applyFont="1" applyBorder="1" applyAlignment="1">
      <alignment horizontal="center" vertical="center" wrapText="1"/>
    </xf>
    <xf numFmtId="0" fontId="51" fillId="0" borderId="21" xfId="122" applyFont="1" applyBorder="1" applyAlignment="1">
      <alignment horizontal="center" vertical="center" wrapText="1"/>
    </xf>
    <xf numFmtId="0" fontId="51" fillId="0" borderId="49" xfId="122" applyFont="1" applyBorder="1" applyAlignment="1">
      <alignment horizontal="center" vertical="center" wrapText="1"/>
    </xf>
    <xf numFmtId="0" fontId="15" fillId="9" borderId="96" xfId="122" applyFont="1" applyFill="1" applyBorder="1" applyAlignment="1">
      <alignment horizontal="left" vertical="center"/>
    </xf>
    <xf numFmtId="0" fontId="15" fillId="9" borderId="83" xfId="122" applyFont="1" applyFill="1" applyBorder="1" applyAlignment="1">
      <alignment horizontal="left" vertical="center"/>
    </xf>
    <xf numFmtId="0" fontId="15" fillId="9" borderId="95" xfId="122" applyFont="1" applyFill="1" applyBorder="1" applyAlignment="1">
      <alignment horizontal="left" vertical="center"/>
    </xf>
    <xf numFmtId="0" fontId="15" fillId="9" borderId="48" xfId="122" applyFont="1" applyFill="1" applyBorder="1" applyAlignment="1">
      <alignment horizontal="left" vertical="center"/>
    </xf>
    <xf numFmtId="0" fontId="15" fillId="9" borderId="21" xfId="122" applyFont="1" applyFill="1" applyBorder="1" applyAlignment="1">
      <alignment horizontal="left" vertical="center"/>
    </xf>
    <xf numFmtId="0" fontId="15" fillId="9" borderId="49" xfId="122" applyFont="1" applyFill="1" applyBorder="1" applyAlignment="1">
      <alignment horizontal="left" vertical="center"/>
    </xf>
    <xf numFmtId="0" fontId="54" fillId="0" borderId="96" xfId="122" applyFont="1" applyBorder="1" applyAlignment="1">
      <alignment horizontal="left" vertical="center"/>
    </xf>
    <xf numFmtId="0" fontId="54" fillId="0" borderId="83" xfId="122" applyFont="1" applyBorder="1" applyAlignment="1">
      <alignment horizontal="left" vertical="center"/>
    </xf>
    <xf numFmtId="0" fontId="54" fillId="9" borderId="33" xfId="122" applyFont="1" applyFill="1" applyBorder="1" applyAlignment="1">
      <alignment horizontal="left" vertical="center"/>
    </xf>
    <xf numFmtId="0" fontId="54" fillId="9" borderId="83" xfId="122" applyFont="1" applyFill="1" applyBorder="1" applyAlignment="1">
      <alignment horizontal="center" vertical="center" shrinkToFit="1"/>
    </xf>
    <xf numFmtId="0" fontId="54" fillId="9" borderId="104" xfId="122" applyFont="1" applyFill="1" applyBorder="1" applyAlignment="1">
      <alignment horizontal="left" vertical="center"/>
    </xf>
    <xf numFmtId="0" fontId="54" fillId="9" borderId="48" xfId="122" applyFont="1" applyFill="1" applyBorder="1" applyAlignment="1">
      <alignment horizontal="center" vertical="center"/>
    </xf>
    <xf numFmtId="0" fontId="54" fillId="9" borderId="21" xfId="122" applyFont="1" applyFill="1" applyBorder="1" applyAlignment="1">
      <alignment horizontal="center" vertical="center"/>
    </xf>
    <xf numFmtId="0" fontId="54" fillId="9" borderId="100" xfId="122" applyFont="1" applyFill="1" applyBorder="1" applyAlignment="1">
      <alignment horizontal="center" vertical="center"/>
    </xf>
    <xf numFmtId="0" fontId="51" fillId="0" borderId="96" xfId="122" applyFont="1" applyBorder="1" applyAlignment="1">
      <alignment horizontal="center" vertical="center"/>
    </xf>
    <xf numFmtId="0" fontId="51" fillId="0" borderId="83" xfId="122" applyFont="1" applyBorder="1" applyAlignment="1">
      <alignment horizontal="center" vertical="center"/>
    </xf>
    <xf numFmtId="0" fontId="51" fillId="0" borderId="95" xfId="122" applyFont="1" applyBorder="1" applyAlignment="1">
      <alignment horizontal="center" vertical="center"/>
    </xf>
    <xf numFmtId="0" fontId="51" fillId="0" borderId="60" xfId="122" applyFont="1" applyBorder="1" applyAlignment="1">
      <alignment horizontal="center" vertical="center"/>
    </xf>
    <xf numFmtId="0" fontId="51" fillId="0" borderId="0" xfId="122" applyFont="1" applyAlignment="1">
      <alignment horizontal="center" vertical="center"/>
    </xf>
    <xf numFmtId="0" fontId="51" fillId="0" borderId="47" xfId="122" applyFont="1" applyBorder="1" applyAlignment="1">
      <alignment horizontal="center" vertical="center"/>
    </xf>
    <xf numFmtId="0" fontId="51" fillId="0" borderId="48" xfId="122" applyFont="1" applyBorder="1" applyAlignment="1">
      <alignment horizontal="center" vertical="center"/>
    </xf>
    <xf numFmtId="0" fontId="51" fillId="0" borderId="21" xfId="122" applyFont="1" applyBorder="1" applyAlignment="1">
      <alignment horizontal="center" vertical="center"/>
    </xf>
    <xf numFmtId="0" fontId="51" fillId="0" borderId="49" xfId="122" applyFont="1" applyBorder="1" applyAlignment="1">
      <alignment horizontal="center" vertical="center"/>
    </xf>
    <xf numFmtId="0" fontId="54" fillId="9" borderId="21" xfId="122" applyFont="1" applyFill="1" applyBorder="1" applyAlignment="1">
      <alignment horizontal="left" vertical="center"/>
    </xf>
    <xf numFmtId="0" fontId="54" fillId="9" borderId="49" xfId="122" applyFont="1" applyFill="1" applyBorder="1" applyAlignment="1">
      <alignment horizontal="left" vertical="center"/>
    </xf>
    <xf numFmtId="0" fontId="54" fillId="9" borderId="33" xfId="122" applyFont="1" applyFill="1" applyBorder="1" applyAlignment="1">
      <alignment horizontal="center" vertical="center"/>
    </xf>
    <xf numFmtId="0" fontId="54" fillId="9" borderId="53" xfId="122" applyFont="1" applyFill="1" applyBorder="1" applyAlignment="1">
      <alignment horizontal="center" vertical="center"/>
    </xf>
    <xf numFmtId="0" fontId="54" fillId="9" borderId="60" xfId="122" applyFont="1" applyFill="1" applyBorder="1" applyAlignment="1">
      <alignment horizontal="left" vertical="center"/>
    </xf>
    <xf numFmtId="0" fontId="54" fillId="9" borderId="0" xfId="122" applyFont="1" applyFill="1" applyAlignment="1">
      <alignment horizontal="left" vertical="center"/>
    </xf>
    <xf numFmtId="0" fontId="54" fillId="9" borderId="101" xfId="122" applyFont="1" applyFill="1" applyBorder="1" applyAlignment="1">
      <alignment horizontal="left" vertical="center"/>
    </xf>
    <xf numFmtId="0" fontId="54" fillId="0" borderId="51" xfId="122" applyFont="1" applyBorder="1" applyAlignment="1">
      <alignment horizontal="left" vertical="center"/>
    </xf>
    <xf numFmtId="0" fontId="8" fillId="0" borderId="97" xfId="122" applyFont="1" applyBorder="1"/>
    <xf numFmtId="0" fontId="8" fillId="0" borderId="102" xfId="122" applyFont="1" applyBorder="1"/>
    <xf numFmtId="0" fontId="54" fillId="0" borderId="97" xfId="122" applyFont="1" applyBorder="1" applyAlignment="1">
      <alignment vertical="center"/>
    </xf>
    <xf numFmtId="0" fontId="54" fillId="0" borderId="52" xfId="122" applyFont="1" applyBorder="1" applyAlignment="1">
      <alignment vertical="center"/>
    </xf>
    <xf numFmtId="0" fontId="51" fillId="0" borderId="60" xfId="122" applyFont="1" applyBorder="1" applyAlignment="1">
      <alignment horizontal="center" vertical="center" wrapText="1"/>
    </xf>
    <xf numFmtId="0" fontId="51" fillId="0" borderId="0" xfId="122" applyFont="1" applyAlignment="1">
      <alignment horizontal="center" vertical="center" wrapText="1"/>
    </xf>
    <xf numFmtId="0" fontId="51" fillId="0" borderId="47" xfId="122" applyFont="1" applyBorder="1" applyAlignment="1">
      <alignment horizontal="center" vertical="center" wrapText="1"/>
    </xf>
    <xf numFmtId="0" fontId="54" fillId="9" borderId="35" xfId="122" applyFont="1" applyFill="1" applyBorder="1" applyAlignment="1">
      <alignment horizontal="center" vertical="center"/>
    </xf>
    <xf numFmtId="0" fontId="54" fillId="9" borderId="104" xfId="122" applyFont="1" applyFill="1" applyBorder="1" applyAlignment="1">
      <alignment horizontal="center" vertical="center"/>
    </xf>
    <xf numFmtId="0" fontId="54" fillId="0" borderId="51" xfId="122" applyFont="1" applyBorder="1" applyAlignment="1" applyProtection="1">
      <alignment horizontal="left" vertical="center"/>
      <protection hidden="1"/>
    </xf>
    <xf numFmtId="0" fontId="54" fillId="0" borderId="97" xfId="122" applyFont="1" applyBorder="1" applyAlignment="1" applyProtection="1">
      <alignment horizontal="left" vertical="center"/>
      <protection hidden="1"/>
    </xf>
    <xf numFmtId="0" fontId="54" fillId="0" borderId="102" xfId="122" applyFont="1" applyBorder="1" applyAlignment="1" applyProtection="1">
      <alignment horizontal="left" vertical="center"/>
      <protection hidden="1"/>
    </xf>
    <xf numFmtId="0" fontId="54" fillId="0" borderId="106" xfId="122" applyFont="1" applyBorder="1" applyAlignment="1">
      <alignment vertical="center"/>
    </xf>
    <xf numFmtId="49" fontId="54" fillId="9" borderId="21" xfId="122" applyNumberFormat="1" applyFont="1" applyFill="1" applyBorder="1" applyAlignment="1">
      <alignment horizontal="center" vertical="center" shrinkToFit="1"/>
    </xf>
    <xf numFmtId="0" fontId="54" fillId="9" borderId="97" xfId="122" applyFont="1" applyFill="1" applyBorder="1" applyAlignment="1">
      <alignment vertical="center"/>
    </xf>
    <xf numFmtId="0" fontId="54" fillId="9" borderId="52" xfId="122" applyFont="1" applyFill="1" applyBorder="1" applyAlignment="1">
      <alignment vertical="center"/>
    </xf>
    <xf numFmtId="0" fontId="54" fillId="37" borderId="21" xfId="122" applyFont="1" applyFill="1" applyBorder="1" applyAlignment="1">
      <alignment horizontal="left" vertical="center"/>
    </xf>
    <xf numFmtId="0" fontId="63" fillId="37" borderId="0" xfId="122" applyFont="1" applyFill="1" applyAlignment="1">
      <alignment horizontal="center" vertical="center"/>
    </xf>
    <xf numFmtId="182" fontId="63" fillId="8" borderId="0" xfId="109" applyNumberFormat="1" applyFont="1" applyFill="1" applyAlignment="1">
      <alignment horizontal="center" vertical="center"/>
    </xf>
    <xf numFmtId="183" fontId="63" fillId="8" borderId="0" xfId="109" applyNumberFormat="1" applyFont="1" applyFill="1" applyAlignment="1">
      <alignment horizontal="center" vertical="center"/>
    </xf>
    <xf numFmtId="184" fontId="63" fillId="8" borderId="0" xfId="109" applyNumberFormat="1" applyFont="1" applyFill="1" applyAlignment="1">
      <alignment horizontal="center" vertical="center"/>
    </xf>
    <xf numFmtId="0" fontId="51" fillId="0" borderId="0" xfId="109" applyFont="1" applyAlignment="1" applyProtection="1">
      <alignment horizontal="left" vertical="center"/>
      <protection hidden="1"/>
    </xf>
    <xf numFmtId="191" fontId="51" fillId="8" borderId="0" xfId="109" applyNumberFormat="1" applyFont="1" applyFill="1" applyAlignment="1" applyProtection="1">
      <alignment horizontal="center" vertical="center"/>
      <protection hidden="1"/>
    </xf>
    <xf numFmtId="0" fontId="51" fillId="8" borderId="0" xfId="109" applyFont="1" applyFill="1" applyAlignment="1" applyProtection="1">
      <alignment horizontal="distributed" vertical="center"/>
      <protection hidden="1"/>
    </xf>
    <xf numFmtId="0" fontId="51" fillId="8" borderId="0" xfId="109" applyFont="1" applyFill="1" applyAlignment="1" applyProtection="1">
      <alignment horizontal="left" vertical="center"/>
      <protection hidden="1"/>
    </xf>
    <xf numFmtId="0" fontId="51" fillId="8" borderId="0" xfId="122" applyFont="1" applyFill="1" applyAlignment="1" applyProtection="1">
      <alignment horizontal="left" vertical="center" shrinkToFit="1"/>
      <protection hidden="1"/>
    </xf>
    <xf numFmtId="0" fontId="51" fillId="0" borderId="0" xfId="122" applyFont="1" applyAlignment="1" applyProtection="1">
      <alignment horizontal="left" vertical="center"/>
      <protection hidden="1"/>
    </xf>
    <xf numFmtId="0" fontId="51" fillId="0" borderId="0" xfId="122" applyFont="1" applyAlignment="1" applyProtection="1">
      <alignment horizontal="center" vertical="center"/>
      <protection hidden="1"/>
    </xf>
    <xf numFmtId="0" fontId="51" fillId="8" borderId="0" xfId="122" applyFont="1" applyFill="1" applyAlignment="1" applyProtection="1">
      <alignment horizontal="left" vertical="center" wrapText="1"/>
      <protection hidden="1"/>
    </xf>
    <xf numFmtId="0" fontId="51" fillId="8" borderId="21" xfId="122" applyFont="1" applyFill="1" applyBorder="1" applyAlignment="1" applyProtection="1">
      <alignment horizontal="left" vertical="center" wrapText="1"/>
      <protection hidden="1"/>
    </xf>
    <xf numFmtId="0" fontId="65" fillId="0" borderId="0" xfId="122" applyFont="1" applyAlignment="1" applyProtection="1">
      <alignment horizontal="center" vertical="center"/>
      <protection hidden="1"/>
    </xf>
    <xf numFmtId="0" fontId="51" fillId="9" borderId="0" xfId="109" applyFont="1" applyFill="1" applyAlignment="1" applyProtection="1">
      <alignment horizontal="center" vertical="center"/>
      <protection locked="0"/>
    </xf>
    <xf numFmtId="0" fontId="51" fillId="0" borderId="0" xfId="121" applyFont="1" applyAlignment="1" applyProtection="1">
      <alignment horizontal="distributed" vertical="center"/>
      <protection hidden="1"/>
    </xf>
    <xf numFmtId="0" fontId="51" fillId="0" borderId="0" xfId="121" applyFont="1" applyAlignment="1" applyProtection="1">
      <alignment horizontal="left" vertical="center"/>
      <protection hidden="1"/>
    </xf>
    <xf numFmtId="0" fontId="51" fillId="9" borderId="0" xfId="121" applyFont="1" applyFill="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center" vertical="center"/>
      <protection hidden="1"/>
    </xf>
    <xf numFmtId="0" fontId="65" fillId="0" borderId="0" xfId="121" applyFont="1" applyAlignment="1" applyProtection="1">
      <alignment horizontal="center" vertical="center"/>
      <protection hidden="1"/>
    </xf>
    <xf numFmtId="0" fontId="51" fillId="8" borderId="0" xfId="121" applyFont="1" applyFill="1" applyAlignment="1" applyProtection="1">
      <alignment horizontal="left" vertical="center" wrapText="1"/>
      <protection hidden="1"/>
    </xf>
    <xf numFmtId="0" fontId="51" fillId="8" borderId="21" xfId="121" applyFont="1" applyFill="1" applyBorder="1" applyAlignment="1" applyProtection="1">
      <alignment horizontal="left" vertical="center" wrapText="1"/>
      <protection hidden="1"/>
    </xf>
    <xf numFmtId="0" fontId="51" fillId="8" borderId="0" xfId="121" applyFont="1" applyFill="1" applyAlignment="1" applyProtection="1">
      <alignment horizontal="left" vertical="center" shrinkToFit="1"/>
      <protection hidden="1"/>
    </xf>
    <xf numFmtId="182" fontId="63" fillId="9" borderId="0" xfId="121" applyNumberFormat="1" applyFont="1" applyFill="1" applyAlignment="1">
      <alignment horizontal="center" vertical="center"/>
    </xf>
    <xf numFmtId="183" fontId="63" fillId="9" borderId="0" xfId="121" applyNumberFormat="1" applyFont="1" applyFill="1" applyAlignment="1">
      <alignment horizontal="center" vertical="center"/>
    </xf>
    <xf numFmtId="184" fontId="63" fillId="9" borderId="0" xfId="121" applyNumberFormat="1" applyFont="1" applyFill="1" applyAlignment="1">
      <alignment horizontal="center" vertical="center"/>
    </xf>
    <xf numFmtId="0" fontId="51" fillId="8" borderId="0" xfId="121" applyFont="1" applyFill="1" applyAlignment="1" applyProtection="1">
      <alignment horizontal="left" vertical="center" shrinkToFit="1"/>
      <protection locked="0"/>
    </xf>
    <xf numFmtId="0" fontId="51" fillId="0" borderId="0" xfId="108" applyFont="1" applyAlignment="1" applyProtection="1">
      <alignment horizontal="left" vertical="center"/>
      <protection hidden="1"/>
    </xf>
    <xf numFmtId="0" fontId="65" fillId="0" borderId="0" xfId="108" applyFont="1" applyAlignment="1" applyProtection="1">
      <alignment horizontal="center" vertical="center"/>
      <protection hidden="1"/>
    </xf>
    <xf numFmtId="0" fontId="7" fillId="0" borderId="0" xfId="108" applyAlignment="1">
      <alignment horizontal="center" vertical="center"/>
    </xf>
    <xf numFmtId="0" fontId="51" fillId="8" borderId="0" xfId="108" applyFont="1" applyFill="1" applyAlignment="1" applyProtection="1">
      <alignment horizontal="left" vertical="center" wrapText="1"/>
      <protection hidden="1"/>
    </xf>
    <xf numFmtId="0" fontId="51" fillId="8" borderId="21" xfId="108" applyFont="1" applyFill="1" applyBorder="1" applyAlignment="1" applyProtection="1">
      <alignment horizontal="left" vertical="center" wrapText="1"/>
      <protection hidden="1"/>
    </xf>
    <xf numFmtId="0" fontId="51" fillId="8" borderId="0" xfId="108" applyFont="1" applyFill="1" applyAlignment="1" applyProtection="1">
      <alignment horizontal="left" vertical="center" shrinkToFit="1"/>
      <protection locked="0"/>
    </xf>
    <xf numFmtId="0" fontId="51" fillId="0" borderId="0" xfId="108" applyFont="1" applyAlignment="1" applyProtection="1">
      <alignment horizontal="center" vertical="center"/>
      <protection hidden="1"/>
    </xf>
    <xf numFmtId="0" fontId="51" fillId="0" borderId="0" xfId="108" applyFont="1" applyAlignment="1" applyProtection="1">
      <alignment horizontal="center" vertical="center" wrapText="1"/>
      <protection hidden="1"/>
    </xf>
    <xf numFmtId="0" fontId="51" fillId="9" borderId="0" xfId="108" applyFont="1" applyFill="1" applyAlignment="1" applyProtection="1">
      <alignment horizontal="center" vertical="center" wrapText="1"/>
      <protection hidden="1"/>
    </xf>
    <xf numFmtId="49" fontId="19" fillId="0" borderId="0" xfId="106" applyNumberFormat="1" applyFont="1" applyFill="1" applyAlignment="1">
      <alignment horizontal="center" vertical="center"/>
    </xf>
    <xf numFmtId="49" fontId="19" fillId="0" borderId="0" xfId="106" applyNumberFormat="1" applyFont="1" applyFill="1" applyAlignment="1">
      <alignment vertical="center"/>
    </xf>
  </cellXfs>
  <cellStyles count="140">
    <cellStyle name="20% - アクセント 1 2" xfId="139" xr:uid="{00000000-0005-0000-0000-000000000000}"/>
    <cellStyle name="20% - アクセント 2 2" xfId="1" xr:uid="{00000000-0005-0000-0000-000001000000}"/>
    <cellStyle name="20% - アクセント 3 2" xfId="2" xr:uid="{00000000-0005-0000-0000-000002000000}"/>
    <cellStyle name="20% - アクセント 4 2" xfId="3" xr:uid="{00000000-0005-0000-0000-000003000000}"/>
    <cellStyle name="20% - アクセント 5 2" xfId="4" xr:uid="{00000000-0005-0000-0000-000004000000}"/>
    <cellStyle name="20% - アクセント 6 2" xfId="5" xr:uid="{00000000-0005-0000-0000-000005000000}"/>
    <cellStyle name="40% - アクセント 1 2" xfId="6" xr:uid="{00000000-0005-0000-0000-000006000000}"/>
    <cellStyle name="40% - アクセント 2 2" xfId="7" xr:uid="{00000000-0005-0000-0000-000007000000}"/>
    <cellStyle name="40% - アクセント 3 2" xfId="8" xr:uid="{00000000-0005-0000-0000-000008000000}"/>
    <cellStyle name="40% - アクセント 4 2" xfId="9" xr:uid="{00000000-0005-0000-0000-000009000000}"/>
    <cellStyle name="40% - アクセント 5 2" xfId="10" xr:uid="{00000000-0005-0000-0000-00000A000000}"/>
    <cellStyle name="40% - アクセント 6 2" xfId="11" xr:uid="{00000000-0005-0000-0000-00000B000000}"/>
    <cellStyle name="60% - アクセント 1 2" xfId="12" xr:uid="{00000000-0005-0000-0000-00000C000000}"/>
    <cellStyle name="60% - アクセント 2 2" xfId="13" xr:uid="{00000000-0005-0000-0000-00000D000000}"/>
    <cellStyle name="60% - アクセント 3 2" xfId="14" xr:uid="{00000000-0005-0000-0000-00000E000000}"/>
    <cellStyle name="60% - アクセント 4 2" xfId="15" xr:uid="{00000000-0005-0000-0000-00000F000000}"/>
    <cellStyle name="60% - アクセント 5 2" xfId="16" xr:uid="{00000000-0005-0000-0000-000010000000}"/>
    <cellStyle name="60% - アクセント 6 2" xfId="17" xr:uid="{00000000-0005-0000-0000-000011000000}"/>
    <cellStyle name="アクセント 1 2" xfId="18" xr:uid="{00000000-0005-0000-0000-000012000000}"/>
    <cellStyle name="アクセント 2 2" xfId="19" xr:uid="{00000000-0005-0000-0000-000013000000}"/>
    <cellStyle name="アクセント 3 2" xfId="20" xr:uid="{00000000-0005-0000-0000-000014000000}"/>
    <cellStyle name="アクセント 4 2" xfId="21" xr:uid="{00000000-0005-0000-0000-000015000000}"/>
    <cellStyle name="アクセント 5 2" xfId="22" xr:uid="{00000000-0005-0000-0000-000016000000}"/>
    <cellStyle name="アクセント 6 2" xfId="23" xr:uid="{00000000-0005-0000-0000-000017000000}"/>
    <cellStyle name="タイトル 2" xfId="24" xr:uid="{00000000-0005-0000-0000-000018000000}"/>
    <cellStyle name="チェック セル 2" xfId="25" xr:uid="{00000000-0005-0000-0000-000019000000}"/>
    <cellStyle name="どちらでもない 2" xfId="26" xr:uid="{00000000-0005-0000-0000-00001A000000}"/>
    <cellStyle name="パーセント 2" xfId="27" xr:uid="{00000000-0005-0000-0000-00001B000000}"/>
    <cellStyle name="パーセント 2 2" xfId="28" xr:uid="{00000000-0005-0000-0000-00001C000000}"/>
    <cellStyle name="パーセント 2 3" xfId="29" xr:uid="{00000000-0005-0000-0000-00001D000000}"/>
    <cellStyle name="ハイパーリンク" xfId="30" builtinId="8"/>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4" xr:uid="{00000000-0005-0000-0000-00002C000000}"/>
    <cellStyle name="通貨 2 2" xfId="45" xr:uid="{00000000-0005-0000-0000-00002D000000}"/>
    <cellStyle name="通貨 2 2 2" xfId="46" xr:uid="{00000000-0005-0000-0000-00002E000000}"/>
    <cellStyle name="通貨 2 2 3" xfId="47" xr:uid="{00000000-0005-0000-0000-00002F000000}"/>
    <cellStyle name="通貨 2 3" xfId="48" xr:uid="{00000000-0005-0000-0000-000030000000}"/>
    <cellStyle name="通貨 2 4" xfId="49" xr:uid="{00000000-0005-0000-0000-000031000000}"/>
    <cellStyle name="通貨 2 5" xfId="50" xr:uid="{00000000-0005-0000-0000-000032000000}"/>
    <cellStyle name="通貨 2 6" xfId="51" xr:uid="{00000000-0005-0000-0000-000033000000}"/>
    <cellStyle name="通貨 3" xfId="52" xr:uid="{00000000-0005-0000-0000-000034000000}"/>
    <cellStyle name="通貨 3 2" xfId="53" xr:uid="{00000000-0005-0000-0000-000035000000}"/>
    <cellStyle name="入力 2" xfId="54" xr:uid="{00000000-0005-0000-0000-000036000000}"/>
    <cellStyle name="標準" xfId="0" builtinId="0"/>
    <cellStyle name="標準 10" xfId="55" xr:uid="{00000000-0005-0000-0000-000038000000}"/>
    <cellStyle name="標準 11" xfId="56" xr:uid="{00000000-0005-0000-0000-000039000000}"/>
    <cellStyle name="標準 12" xfId="57" xr:uid="{00000000-0005-0000-0000-00003A000000}"/>
    <cellStyle name="標準 13" xfId="58" xr:uid="{00000000-0005-0000-0000-00003B000000}"/>
    <cellStyle name="標準 14" xfId="59" xr:uid="{00000000-0005-0000-0000-00003C000000}"/>
    <cellStyle name="標準 15" xfId="60" xr:uid="{00000000-0005-0000-0000-00003D000000}"/>
    <cellStyle name="標準 16" xfId="61" xr:uid="{00000000-0005-0000-0000-00003E000000}"/>
    <cellStyle name="標準 17" xfId="62" xr:uid="{00000000-0005-0000-0000-00003F000000}"/>
    <cellStyle name="標準 18" xfId="63" xr:uid="{00000000-0005-0000-0000-000040000000}"/>
    <cellStyle name="標準 19" xfId="64" xr:uid="{00000000-0005-0000-0000-000041000000}"/>
    <cellStyle name="標準 2" xfId="65" xr:uid="{00000000-0005-0000-0000-000042000000}"/>
    <cellStyle name="標準 2 2" xfId="66" xr:uid="{00000000-0005-0000-0000-000043000000}"/>
    <cellStyle name="標準 2 3" xfId="67" xr:uid="{00000000-0005-0000-0000-000044000000}"/>
    <cellStyle name="標準 2 3 2" xfId="68" xr:uid="{00000000-0005-0000-0000-000045000000}"/>
    <cellStyle name="標準 2 4" xfId="69" xr:uid="{00000000-0005-0000-0000-000046000000}"/>
    <cellStyle name="標準 2 5" xfId="70" xr:uid="{00000000-0005-0000-0000-000047000000}"/>
    <cellStyle name="標準 2 6" xfId="71" xr:uid="{00000000-0005-0000-0000-000048000000}"/>
    <cellStyle name="標準 2 7" xfId="72" xr:uid="{00000000-0005-0000-0000-000049000000}"/>
    <cellStyle name="標準 20" xfId="73" xr:uid="{00000000-0005-0000-0000-00004A000000}"/>
    <cellStyle name="標準 21" xfId="74" xr:uid="{00000000-0005-0000-0000-00004B000000}"/>
    <cellStyle name="標準 22" xfId="75" xr:uid="{00000000-0005-0000-0000-00004C000000}"/>
    <cellStyle name="標準 23" xfId="76" xr:uid="{00000000-0005-0000-0000-00004D000000}"/>
    <cellStyle name="標準 24" xfId="77" xr:uid="{00000000-0005-0000-0000-00004E000000}"/>
    <cellStyle name="標準 25" xfId="78" xr:uid="{00000000-0005-0000-0000-00004F000000}"/>
    <cellStyle name="標準 26" xfId="79" xr:uid="{00000000-0005-0000-0000-000050000000}"/>
    <cellStyle name="標準 27" xfId="80" xr:uid="{00000000-0005-0000-0000-000051000000}"/>
    <cellStyle name="標準 28" xfId="81" xr:uid="{00000000-0005-0000-0000-000052000000}"/>
    <cellStyle name="標準 29" xfId="82" xr:uid="{00000000-0005-0000-0000-000053000000}"/>
    <cellStyle name="標準 3" xfId="83" xr:uid="{00000000-0005-0000-0000-000054000000}"/>
    <cellStyle name="標準 3 2" xfId="84" xr:uid="{00000000-0005-0000-0000-000055000000}"/>
    <cellStyle name="標準 3 3" xfId="85" xr:uid="{00000000-0005-0000-0000-000056000000}"/>
    <cellStyle name="標準 30" xfId="86" xr:uid="{00000000-0005-0000-0000-000057000000}"/>
    <cellStyle name="標準 31" xfId="87" xr:uid="{00000000-0005-0000-0000-000058000000}"/>
    <cellStyle name="標準 32" xfId="88" xr:uid="{00000000-0005-0000-0000-000059000000}"/>
    <cellStyle name="標準 33" xfId="89" xr:uid="{00000000-0005-0000-0000-00005A000000}"/>
    <cellStyle name="標準 34" xfId="90" xr:uid="{00000000-0005-0000-0000-00005B000000}"/>
    <cellStyle name="標準 35" xfId="91" xr:uid="{00000000-0005-0000-0000-00005C000000}"/>
    <cellStyle name="標準 36" xfId="92" xr:uid="{00000000-0005-0000-0000-00005D000000}"/>
    <cellStyle name="標準 37" xfId="93" xr:uid="{00000000-0005-0000-0000-00005E000000}"/>
    <cellStyle name="標準 38" xfId="94" xr:uid="{00000000-0005-0000-0000-00005F000000}"/>
    <cellStyle name="標準 39" xfId="95" xr:uid="{00000000-0005-0000-0000-000060000000}"/>
    <cellStyle name="標準 4" xfId="96" xr:uid="{00000000-0005-0000-0000-000061000000}"/>
    <cellStyle name="標準 4 2" xfId="97" xr:uid="{00000000-0005-0000-0000-000062000000}"/>
    <cellStyle name="標準 4 2 2" xfId="98" xr:uid="{00000000-0005-0000-0000-000063000000}"/>
    <cellStyle name="標準 4 3" xfId="99" xr:uid="{00000000-0005-0000-0000-000064000000}"/>
    <cellStyle name="標準 40" xfId="100" xr:uid="{00000000-0005-0000-0000-000065000000}"/>
    <cellStyle name="標準 41" xfId="101" xr:uid="{00000000-0005-0000-0000-000066000000}"/>
    <cellStyle name="標準 42" xfId="102" xr:uid="{00000000-0005-0000-0000-000067000000}"/>
    <cellStyle name="標準 43" xfId="103" xr:uid="{00000000-0005-0000-0000-000068000000}"/>
    <cellStyle name="標準 44" xfId="104" xr:uid="{00000000-0005-0000-0000-000069000000}"/>
    <cellStyle name="標準 45" xfId="105" xr:uid="{00000000-0005-0000-0000-00006A000000}"/>
    <cellStyle name="標準 46" xfId="106" xr:uid="{00000000-0005-0000-0000-00006B000000}"/>
    <cellStyle name="標準 47" xfId="107" xr:uid="{00000000-0005-0000-0000-00006C000000}"/>
    <cellStyle name="標準 48" xfId="108" xr:uid="{00000000-0005-0000-0000-00006D000000}"/>
    <cellStyle name="標準 49" xfId="109" xr:uid="{00000000-0005-0000-0000-00006E000000}"/>
    <cellStyle name="標準 5" xfId="110" xr:uid="{00000000-0005-0000-0000-00006F000000}"/>
    <cellStyle name="標準 5 2" xfId="111" xr:uid="{00000000-0005-0000-0000-000070000000}"/>
    <cellStyle name="標準 5 2 2" xfId="112" xr:uid="{00000000-0005-0000-0000-000071000000}"/>
    <cellStyle name="標準 5 2 3" xfId="113" xr:uid="{00000000-0005-0000-0000-000072000000}"/>
    <cellStyle name="標準 5 2 4" xfId="114" xr:uid="{00000000-0005-0000-0000-000073000000}"/>
    <cellStyle name="標準 5 3" xfId="115" xr:uid="{00000000-0005-0000-0000-000074000000}"/>
    <cellStyle name="標準 5 4" xfId="116" xr:uid="{00000000-0005-0000-0000-000075000000}"/>
    <cellStyle name="標準 5 5" xfId="117" xr:uid="{00000000-0005-0000-0000-000076000000}"/>
    <cellStyle name="標準 50" xfId="118" xr:uid="{00000000-0005-0000-0000-000077000000}"/>
    <cellStyle name="標準 51" xfId="119" xr:uid="{00000000-0005-0000-0000-000078000000}"/>
    <cellStyle name="標準 52" xfId="120" xr:uid="{00000000-0005-0000-0000-000079000000}"/>
    <cellStyle name="標準 53" xfId="121" xr:uid="{00000000-0005-0000-0000-00007A000000}"/>
    <cellStyle name="標準 54" xfId="122" xr:uid="{00000000-0005-0000-0000-00007B000000}"/>
    <cellStyle name="標準 55" xfId="123" xr:uid="{00000000-0005-0000-0000-00007C000000}"/>
    <cellStyle name="標準 6" xfId="124" xr:uid="{00000000-0005-0000-0000-00007D000000}"/>
    <cellStyle name="標準 6 2"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8" xfId="131" xr:uid="{00000000-0005-0000-0000-000084000000}"/>
    <cellStyle name="標準 8 2" xfId="132" xr:uid="{00000000-0005-0000-0000-000085000000}"/>
    <cellStyle name="標準 9" xfId="133" xr:uid="{00000000-0005-0000-0000-000086000000}"/>
    <cellStyle name="標準 9 2" xfId="134" xr:uid="{00000000-0005-0000-0000-000087000000}"/>
    <cellStyle name="標準 9 2 2" xfId="135" xr:uid="{00000000-0005-0000-0000-000088000000}"/>
    <cellStyle name="標準_主要用途" xfId="136" xr:uid="{00000000-0005-0000-0000-000089000000}"/>
    <cellStyle name="標準_提案フォーマット" xfId="137" xr:uid="{00000000-0005-0000-0000-00008A000000}"/>
    <cellStyle name="良い 2" xfId="138" xr:uid="{00000000-0005-0000-0000-00008B000000}"/>
  </cellStyles>
  <dxfs count="0"/>
  <tableStyles count="0" defaultTableStyle="TableStyleMedium9" defaultPivotStyle="PivotStyleLight16"/>
  <colors>
    <mruColors>
      <color rgb="FFFFFF99"/>
      <color rgb="FF99CCFF"/>
      <color rgb="FFCCFFCC"/>
      <color rgb="FF99CC00"/>
      <color rgb="FF33CCFF"/>
      <color rgb="FFCCFFFF"/>
      <color rgb="FFFFFFCC"/>
      <color rgb="FFFF99CC"/>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59</xdr:row>
      <xdr:rowOff>28575</xdr:rowOff>
    </xdr:from>
    <xdr:to>
      <xdr:col>7</xdr:col>
      <xdr:colOff>0</xdr:colOff>
      <xdr:row>61</xdr:row>
      <xdr:rowOff>28575</xdr:rowOff>
    </xdr:to>
    <xdr:sp macro="" textlink="">
      <xdr:nvSpPr>
        <xdr:cNvPr id="2" name="AutoShape 1">
          <a:extLst>
            <a:ext uri="{FF2B5EF4-FFF2-40B4-BE49-F238E27FC236}">
              <a16:creationId xmlns:a16="http://schemas.microsoft.com/office/drawing/2014/main" id="{235C8987-CD61-4858-81BE-2701439C2AA0}"/>
            </a:ext>
          </a:extLst>
        </xdr:cNvPr>
        <xdr:cNvSpPr>
          <a:spLocks noChangeArrowheads="1"/>
        </xdr:cNvSpPr>
      </xdr:nvSpPr>
      <xdr:spPr bwMode="auto">
        <a:xfrm>
          <a:off x="742950" y="10144125"/>
          <a:ext cx="4057650" cy="342900"/>
        </a:xfrm>
        <a:prstGeom prst="bracketPair">
          <a:avLst>
            <a:gd name="adj" fmla="val 7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65</xdr:row>
      <xdr:rowOff>38100</xdr:rowOff>
    </xdr:from>
    <xdr:to>
      <xdr:col>7</xdr:col>
      <xdr:colOff>190500</xdr:colOff>
      <xdr:row>67</xdr:row>
      <xdr:rowOff>47625</xdr:rowOff>
    </xdr:to>
    <xdr:sp macro="" textlink="">
      <xdr:nvSpPr>
        <xdr:cNvPr id="3" name="AutoShape 2">
          <a:extLst>
            <a:ext uri="{FF2B5EF4-FFF2-40B4-BE49-F238E27FC236}">
              <a16:creationId xmlns:a16="http://schemas.microsoft.com/office/drawing/2014/main" id="{2CD5D2F8-74DF-4EA9-89DB-ADE9EF09D476}"/>
            </a:ext>
          </a:extLst>
        </xdr:cNvPr>
        <xdr:cNvSpPr>
          <a:spLocks noChangeArrowheads="1"/>
        </xdr:cNvSpPr>
      </xdr:nvSpPr>
      <xdr:spPr bwMode="auto">
        <a:xfrm>
          <a:off x="47625" y="11182350"/>
          <a:ext cx="494347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42</xdr:row>
      <xdr:rowOff>9525</xdr:rowOff>
    </xdr:from>
    <xdr:to>
      <xdr:col>7</xdr:col>
      <xdr:colOff>57150</xdr:colOff>
      <xdr:row>43</xdr:row>
      <xdr:rowOff>114300</xdr:rowOff>
    </xdr:to>
    <xdr:sp macro="" textlink="">
      <xdr:nvSpPr>
        <xdr:cNvPr id="4" name="AutoShape 3">
          <a:extLst>
            <a:ext uri="{FF2B5EF4-FFF2-40B4-BE49-F238E27FC236}">
              <a16:creationId xmlns:a16="http://schemas.microsoft.com/office/drawing/2014/main" id="{10A314CF-1280-4E6C-8453-F82FBA32A4FF}"/>
            </a:ext>
          </a:extLst>
        </xdr:cNvPr>
        <xdr:cNvSpPr>
          <a:spLocks noChangeArrowheads="1"/>
        </xdr:cNvSpPr>
      </xdr:nvSpPr>
      <xdr:spPr bwMode="auto">
        <a:xfrm>
          <a:off x="704850" y="7210425"/>
          <a:ext cx="415290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12</xdr:row>
      <xdr:rowOff>0</xdr:rowOff>
    </xdr:from>
    <xdr:to>
      <xdr:col>52</xdr:col>
      <xdr:colOff>19050</xdr:colOff>
      <xdr:row>15</xdr:row>
      <xdr:rowOff>76200</xdr:rowOff>
    </xdr:to>
    <xdr:sp macro="" textlink="">
      <xdr:nvSpPr>
        <xdr:cNvPr id="5" name="テキスト ボックス 4">
          <a:extLst>
            <a:ext uri="{FF2B5EF4-FFF2-40B4-BE49-F238E27FC236}">
              <a16:creationId xmlns:a16="http://schemas.microsoft.com/office/drawing/2014/main" id="{9FE199AF-BA66-44FB-9792-8C789A08443A}"/>
            </a:ext>
          </a:extLst>
        </xdr:cNvPr>
        <xdr:cNvSpPr txBox="1"/>
      </xdr:nvSpPr>
      <xdr:spPr>
        <a:xfrm>
          <a:off x="21259800" y="2057400"/>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31</xdr:col>
      <xdr:colOff>0</xdr:colOff>
      <xdr:row>26</xdr:row>
      <xdr:rowOff>161925</xdr:rowOff>
    </xdr:from>
    <xdr:to>
      <xdr:col>52</xdr:col>
      <xdr:colOff>19050</xdr:colOff>
      <xdr:row>30</xdr:row>
      <xdr:rowOff>66675</xdr:rowOff>
    </xdr:to>
    <xdr:sp macro="" textlink="">
      <xdr:nvSpPr>
        <xdr:cNvPr id="6" name="テキスト ボックス 5">
          <a:extLst>
            <a:ext uri="{FF2B5EF4-FFF2-40B4-BE49-F238E27FC236}">
              <a16:creationId xmlns:a16="http://schemas.microsoft.com/office/drawing/2014/main" id="{8B8C2351-D844-4E19-BB91-9B07673718B3}"/>
            </a:ext>
          </a:extLst>
        </xdr:cNvPr>
        <xdr:cNvSpPr txBox="1"/>
      </xdr:nvSpPr>
      <xdr:spPr>
        <a:xfrm>
          <a:off x="21259800" y="4619625"/>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工事監理者変更の場合は適宜修正して下さい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23</xdr:row>
      <xdr:rowOff>0</xdr:rowOff>
    </xdr:from>
    <xdr:to>
      <xdr:col>39</xdr:col>
      <xdr:colOff>0</xdr:colOff>
      <xdr:row>23</xdr:row>
      <xdr:rowOff>0</xdr:rowOff>
    </xdr:to>
    <xdr:sp macro="" textlink="">
      <xdr:nvSpPr>
        <xdr:cNvPr id="2" name="Text Box 1">
          <a:extLst>
            <a:ext uri="{FF2B5EF4-FFF2-40B4-BE49-F238E27FC236}">
              <a16:creationId xmlns:a16="http://schemas.microsoft.com/office/drawing/2014/main" id="{C8F4E044-38D0-40D3-9B9A-9E34587E7A70}"/>
            </a:ext>
          </a:extLst>
        </xdr:cNvPr>
        <xdr:cNvSpPr txBox="1">
          <a:spLocks noChangeArrowheads="1"/>
        </xdr:cNvSpPr>
      </xdr:nvSpPr>
      <xdr:spPr bwMode="auto">
        <a:xfrm>
          <a:off x="7800975" y="3943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建築主が法人の場合下欄に記入</a:t>
          </a:r>
        </a:p>
      </xdr:txBody>
    </xdr:sp>
    <xdr:clientData/>
  </xdr:twoCellAnchor>
  <xdr:twoCellAnchor>
    <xdr:from>
      <xdr:col>34</xdr:col>
      <xdr:colOff>104775</xdr:colOff>
      <xdr:row>16</xdr:row>
      <xdr:rowOff>28574</xdr:rowOff>
    </xdr:from>
    <xdr:to>
      <xdr:col>43</xdr:col>
      <xdr:colOff>142875</xdr:colOff>
      <xdr:row>19</xdr:row>
      <xdr:rowOff>28575</xdr:rowOff>
    </xdr:to>
    <xdr:sp macro="" textlink="">
      <xdr:nvSpPr>
        <xdr:cNvPr id="3" name="テキスト ボックス 2">
          <a:extLst>
            <a:ext uri="{FF2B5EF4-FFF2-40B4-BE49-F238E27FC236}">
              <a16:creationId xmlns:a16="http://schemas.microsoft.com/office/drawing/2014/main" id="{2C019F8F-BF1C-429B-8E15-EEFA3D35D3CE}"/>
            </a:ext>
          </a:extLst>
        </xdr:cNvPr>
        <xdr:cNvSpPr txBox="1"/>
      </xdr:nvSpPr>
      <xdr:spPr>
        <a:xfrm>
          <a:off x="6905625" y="2771774"/>
          <a:ext cx="183832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34</xdr:col>
      <xdr:colOff>95250</xdr:colOff>
      <xdr:row>47</xdr:row>
      <xdr:rowOff>85725</xdr:rowOff>
    </xdr:from>
    <xdr:to>
      <xdr:col>42</xdr:col>
      <xdr:colOff>95251</xdr:colOff>
      <xdr:row>50</xdr:row>
      <xdr:rowOff>76200</xdr:rowOff>
    </xdr:to>
    <xdr:sp macro="" textlink="">
      <xdr:nvSpPr>
        <xdr:cNvPr id="4" name="テキスト ボックス 3">
          <a:extLst>
            <a:ext uri="{FF2B5EF4-FFF2-40B4-BE49-F238E27FC236}">
              <a16:creationId xmlns:a16="http://schemas.microsoft.com/office/drawing/2014/main" id="{4CC9D02F-99C2-4C16-8C1C-89EC03FA8470}"/>
            </a:ext>
          </a:extLst>
        </xdr:cNvPr>
        <xdr:cNvSpPr txBox="1"/>
      </xdr:nvSpPr>
      <xdr:spPr>
        <a:xfrm>
          <a:off x="6896100" y="8143875"/>
          <a:ext cx="1600201"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47625</xdr:colOff>
      <xdr:row>45</xdr:row>
      <xdr:rowOff>161925</xdr:rowOff>
    </xdr:from>
    <xdr:to>
      <xdr:col>47</xdr:col>
      <xdr:colOff>19051</xdr:colOff>
      <xdr:row>49</xdr:row>
      <xdr:rowOff>38100</xdr:rowOff>
    </xdr:to>
    <xdr:sp macro="" textlink="">
      <xdr:nvSpPr>
        <xdr:cNvPr id="2" name="テキスト ボックス 1">
          <a:extLst>
            <a:ext uri="{FF2B5EF4-FFF2-40B4-BE49-F238E27FC236}">
              <a16:creationId xmlns:a16="http://schemas.microsoft.com/office/drawing/2014/main" id="{DD3542BA-86DB-4666-BD13-6B1E717B65F6}"/>
            </a:ext>
          </a:extLst>
        </xdr:cNvPr>
        <xdr:cNvSpPr txBox="1"/>
      </xdr:nvSpPr>
      <xdr:spPr>
        <a:xfrm>
          <a:off x="6924675" y="7877175"/>
          <a:ext cx="1600201"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13</xdr:row>
      <xdr:rowOff>0</xdr:rowOff>
    </xdr:from>
    <xdr:to>
      <xdr:col>39</xdr:col>
      <xdr:colOff>0</xdr:colOff>
      <xdr:row>13</xdr:row>
      <xdr:rowOff>0</xdr:rowOff>
    </xdr:to>
    <xdr:sp macro="" textlink="">
      <xdr:nvSpPr>
        <xdr:cNvPr id="2" name="Text Box 1">
          <a:extLst>
            <a:ext uri="{FF2B5EF4-FFF2-40B4-BE49-F238E27FC236}">
              <a16:creationId xmlns:a16="http://schemas.microsoft.com/office/drawing/2014/main" id="{A29D604C-DA2C-4D55-8AA7-9753D50BDB9C}"/>
            </a:ext>
          </a:extLst>
        </xdr:cNvPr>
        <xdr:cNvSpPr txBox="1">
          <a:spLocks noChangeArrowheads="1"/>
        </xdr:cNvSpPr>
      </xdr:nvSpPr>
      <xdr:spPr bwMode="auto">
        <a:xfrm>
          <a:off x="7800975" y="22288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38100</xdr:colOff>
      <xdr:row>31</xdr:row>
      <xdr:rowOff>1</xdr:rowOff>
    </xdr:from>
    <xdr:to>
      <xdr:col>56</xdr:col>
      <xdr:colOff>57150</xdr:colOff>
      <xdr:row>34</xdr:row>
      <xdr:rowOff>104776</xdr:rowOff>
    </xdr:to>
    <xdr:sp macro="" textlink="">
      <xdr:nvSpPr>
        <xdr:cNvPr id="3" name="テキスト ボックス 2">
          <a:extLst>
            <a:ext uri="{FF2B5EF4-FFF2-40B4-BE49-F238E27FC236}">
              <a16:creationId xmlns:a16="http://schemas.microsoft.com/office/drawing/2014/main" id="{CB717FD6-61A4-4041-AFEA-40DE59DB0239}"/>
            </a:ext>
          </a:extLst>
        </xdr:cNvPr>
        <xdr:cNvSpPr txBox="1"/>
      </xdr:nvSpPr>
      <xdr:spPr>
        <a:xfrm>
          <a:off x="6638925" y="5314951"/>
          <a:ext cx="46196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自動で全ての変更の種別に「変更前」の内容が記載されています。</a:t>
          </a:r>
          <a:endParaRPr kumimoji="1" lang="en-US" altLang="ja-JP" sz="1100"/>
        </a:p>
        <a:p>
          <a:r>
            <a:rPr kumimoji="1" lang="ja-JP" altLang="en-US" sz="1100"/>
            <a:t>今回の変更内容に沿うように適宜削除して下さい。</a:t>
          </a:r>
          <a:endParaRPr kumimoji="1" lang="en-US" altLang="ja-JP" sz="1100"/>
        </a:p>
      </xdr:txBody>
    </xdr:sp>
    <xdr:clientData/>
  </xdr:twoCellAnchor>
  <xdr:twoCellAnchor>
    <xdr:from>
      <xdr:col>33</xdr:col>
      <xdr:colOff>66675</xdr:colOff>
      <xdr:row>9</xdr:row>
      <xdr:rowOff>28575</xdr:rowOff>
    </xdr:from>
    <xdr:to>
      <xdr:col>42</xdr:col>
      <xdr:colOff>47625</xdr:colOff>
      <xdr:row>14</xdr:row>
      <xdr:rowOff>19050</xdr:rowOff>
    </xdr:to>
    <xdr:sp macro="" textlink="">
      <xdr:nvSpPr>
        <xdr:cNvPr id="4" name="テキスト ボックス 3">
          <a:extLst>
            <a:ext uri="{FF2B5EF4-FFF2-40B4-BE49-F238E27FC236}">
              <a16:creationId xmlns:a16="http://schemas.microsoft.com/office/drawing/2014/main" id="{EC15BF6C-3B88-4D70-8E2E-D0442FF787E6}"/>
            </a:ext>
          </a:extLst>
        </xdr:cNvPr>
        <xdr:cNvSpPr txBox="1"/>
      </xdr:nvSpPr>
      <xdr:spPr>
        <a:xfrm>
          <a:off x="6667500" y="1571625"/>
          <a:ext cx="17811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33</xdr:col>
      <xdr:colOff>38100</xdr:colOff>
      <xdr:row>62</xdr:row>
      <xdr:rowOff>123825</xdr:rowOff>
    </xdr:from>
    <xdr:to>
      <xdr:col>41</xdr:col>
      <xdr:colOff>38101</xdr:colOff>
      <xdr:row>66</xdr:row>
      <xdr:rowOff>57150</xdr:rowOff>
    </xdr:to>
    <xdr:sp macro="" textlink="">
      <xdr:nvSpPr>
        <xdr:cNvPr id="5" name="テキスト ボックス 4">
          <a:extLst>
            <a:ext uri="{FF2B5EF4-FFF2-40B4-BE49-F238E27FC236}">
              <a16:creationId xmlns:a16="http://schemas.microsoft.com/office/drawing/2014/main" id="{DEFEE698-1A5A-49EC-B5E0-EC30C8142900}"/>
            </a:ext>
          </a:extLst>
        </xdr:cNvPr>
        <xdr:cNvSpPr txBox="1"/>
      </xdr:nvSpPr>
      <xdr:spPr>
        <a:xfrm>
          <a:off x="6638925" y="10753725"/>
          <a:ext cx="160020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12</xdr:row>
      <xdr:rowOff>0</xdr:rowOff>
    </xdr:from>
    <xdr:to>
      <xdr:col>39</xdr:col>
      <xdr:colOff>0</xdr:colOff>
      <xdr:row>12</xdr:row>
      <xdr:rowOff>0</xdr:rowOff>
    </xdr:to>
    <xdr:sp macro="" textlink="">
      <xdr:nvSpPr>
        <xdr:cNvPr id="2" name="Text Box 1">
          <a:extLst>
            <a:ext uri="{FF2B5EF4-FFF2-40B4-BE49-F238E27FC236}">
              <a16:creationId xmlns:a16="http://schemas.microsoft.com/office/drawing/2014/main" id="{D0D6E499-4500-47A9-994C-75442336CF0E}"/>
            </a:ext>
          </a:extLst>
        </xdr:cNvPr>
        <xdr:cNvSpPr txBox="1">
          <a:spLocks noChangeArrowheads="1"/>
        </xdr:cNvSpPr>
      </xdr:nvSpPr>
      <xdr:spPr bwMode="auto">
        <a:xfrm>
          <a:off x="7800975" y="20574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32</xdr:col>
      <xdr:colOff>131883</xdr:colOff>
      <xdr:row>3</xdr:row>
      <xdr:rowOff>36636</xdr:rowOff>
    </xdr:from>
    <xdr:to>
      <xdr:col>43</xdr:col>
      <xdr:colOff>183173</xdr:colOff>
      <xdr:row>6</xdr:row>
      <xdr:rowOff>1</xdr:rowOff>
    </xdr:to>
    <xdr:sp macro="" textlink="">
      <xdr:nvSpPr>
        <xdr:cNvPr id="3" name="Text Box 8">
          <a:extLst>
            <a:ext uri="{FF2B5EF4-FFF2-40B4-BE49-F238E27FC236}">
              <a16:creationId xmlns:a16="http://schemas.microsoft.com/office/drawing/2014/main" id="{8130ADA3-0BE4-49F3-8FA2-90B995C55B54}"/>
            </a:ext>
          </a:extLst>
        </xdr:cNvPr>
        <xdr:cNvSpPr txBox="1">
          <a:spLocks noChangeArrowheads="1"/>
        </xdr:cNvSpPr>
      </xdr:nvSpPr>
      <xdr:spPr bwMode="auto">
        <a:xfrm>
          <a:off x="6532683" y="550986"/>
          <a:ext cx="2251565" cy="477715"/>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工事監理者の変更が多数生じる場合は、こちらの用紙をご使用ください。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33</xdr:col>
      <xdr:colOff>95250</xdr:colOff>
      <xdr:row>7</xdr:row>
      <xdr:rowOff>95250</xdr:rowOff>
    </xdr:from>
    <xdr:ext cx="184731" cy="264560"/>
    <xdr:sp macro="" textlink="">
      <xdr:nvSpPr>
        <xdr:cNvPr id="4" name="テキスト ボックス 3">
          <a:extLst>
            <a:ext uri="{FF2B5EF4-FFF2-40B4-BE49-F238E27FC236}">
              <a16:creationId xmlns:a16="http://schemas.microsoft.com/office/drawing/2014/main" id="{0F5894ED-A403-4F41-BC51-420760FFD099}"/>
            </a:ext>
          </a:extLst>
        </xdr:cNvPr>
        <xdr:cNvSpPr txBox="1"/>
      </xdr:nvSpPr>
      <xdr:spPr>
        <a:xfrm>
          <a:off x="66960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161193</xdr:colOff>
      <xdr:row>12</xdr:row>
      <xdr:rowOff>36635</xdr:rowOff>
    </xdr:from>
    <xdr:ext cx="184731" cy="264560"/>
    <xdr:sp macro="" textlink="">
      <xdr:nvSpPr>
        <xdr:cNvPr id="5" name="テキスト ボックス 4">
          <a:extLst>
            <a:ext uri="{FF2B5EF4-FFF2-40B4-BE49-F238E27FC236}">
              <a16:creationId xmlns:a16="http://schemas.microsoft.com/office/drawing/2014/main" id="{4ECD252E-2382-4CC2-87D0-2F1ACE7123BB}"/>
            </a:ext>
          </a:extLst>
        </xdr:cNvPr>
        <xdr:cNvSpPr txBox="1"/>
      </xdr:nvSpPr>
      <xdr:spPr>
        <a:xfrm>
          <a:off x="6962043" y="20940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32</xdr:col>
      <xdr:colOff>139211</xdr:colOff>
      <xdr:row>7</xdr:row>
      <xdr:rowOff>36635</xdr:rowOff>
    </xdr:from>
    <xdr:to>
      <xdr:col>43</xdr:col>
      <xdr:colOff>190501</xdr:colOff>
      <xdr:row>10</xdr:row>
      <xdr:rowOff>14655</xdr:rowOff>
    </xdr:to>
    <xdr:sp macro="" textlink="">
      <xdr:nvSpPr>
        <xdr:cNvPr id="6" name="Text Box 8">
          <a:extLst>
            <a:ext uri="{FF2B5EF4-FFF2-40B4-BE49-F238E27FC236}">
              <a16:creationId xmlns:a16="http://schemas.microsoft.com/office/drawing/2014/main" id="{FECC04A4-BFA7-439D-A800-857215964710}"/>
            </a:ext>
          </a:extLst>
        </xdr:cNvPr>
        <xdr:cNvSpPr txBox="1">
          <a:spLocks noChangeArrowheads="1"/>
        </xdr:cNvSpPr>
      </xdr:nvSpPr>
      <xdr:spPr bwMode="auto">
        <a:xfrm>
          <a:off x="6540011" y="1236785"/>
          <a:ext cx="2251565" cy="49237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lnSpc>
              <a:spcPts val="12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変更前・変更後には変更がない方も含め、全員の氏名をご記載願います。</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16</xdr:row>
      <xdr:rowOff>0</xdr:rowOff>
    </xdr:from>
    <xdr:to>
      <xdr:col>40</xdr:col>
      <xdr:colOff>0</xdr:colOff>
      <xdr:row>16</xdr:row>
      <xdr:rowOff>0</xdr:rowOff>
    </xdr:to>
    <xdr:sp macro="" textlink="">
      <xdr:nvSpPr>
        <xdr:cNvPr id="2" name="Text Box 1">
          <a:extLst>
            <a:ext uri="{FF2B5EF4-FFF2-40B4-BE49-F238E27FC236}">
              <a16:creationId xmlns:a16="http://schemas.microsoft.com/office/drawing/2014/main" id="{3CB09693-A132-47EF-965E-ACBC6215AF80}"/>
            </a:ext>
          </a:extLst>
        </xdr:cNvPr>
        <xdr:cNvSpPr txBox="1">
          <a:spLocks noChangeArrowheads="1"/>
        </xdr:cNvSpPr>
      </xdr:nvSpPr>
      <xdr:spPr bwMode="auto">
        <a:xfrm>
          <a:off x="8001000" y="27432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171450</xdr:colOff>
      <xdr:row>10</xdr:row>
      <xdr:rowOff>85726</xdr:rowOff>
    </xdr:from>
    <xdr:to>
      <xdr:col>42</xdr:col>
      <xdr:colOff>104775</xdr:colOff>
      <xdr:row>12</xdr:row>
      <xdr:rowOff>161926</xdr:rowOff>
    </xdr:to>
    <xdr:sp macro="" textlink="">
      <xdr:nvSpPr>
        <xdr:cNvPr id="3" name="テキスト ボックス 2">
          <a:extLst>
            <a:ext uri="{FF2B5EF4-FFF2-40B4-BE49-F238E27FC236}">
              <a16:creationId xmlns:a16="http://schemas.microsoft.com/office/drawing/2014/main" id="{A5A96D2E-1EE5-40B1-8DAD-698CD2B9106E}"/>
            </a:ext>
          </a:extLst>
        </xdr:cNvPr>
        <xdr:cNvSpPr txBox="1"/>
      </xdr:nvSpPr>
      <xdr:spPr>
        <a:xfrm>
          <a:off x="6772275" y="1800226"/>
          <a:ext cx="17335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76200</xdr:colOff>
      <xdr:row>13</xdr:row>
      <xdr:rowOff>171450</xdr:rowOff>
    </xdr:from>
    <xdr:to>
      <xdr:col>41</xdr:col>
      <xdr:colOff>0</xdr:colOff>
      <xdr:row>16</xdr:row>
      <xdr:rowOff>47625</xdr:rowOff>
    </xdr:to>
    <xdr:sp macro="" textlink="">
      <xdr:nvSpPr>
        <xdr:cNvPr id="2" name="テキスト ボックス 1">
          <a:extLst>
            <a:ext uri="{FF2B5EF4-FFF2-40B4-BE49-F238E27FC236}">
              <a16:creationId xmlns:a16="http://schemas.microsoft.com/office/drawing/2014/main" id="{01106697-445E-49B9-9E1D-D3C125E55EF0}"/>
            </a:ext>
          </a:extLst>
        </xdr:cNvPr>
        <xdr:cNvSpPr txBox="1"/>
      </xdr:nvSpPr>
      <xdr:spPr>
        <a:xfrm>
          <a:off x="6543675" y="2400300"/>
          <a:ext cx="17240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47625</xdr:colOff>
      <xdr:row>13</xdr:row>
      <xdr:rowOff>95250</xdr:rowOff>
    </xdr:from>
    <xdr:to>
      <xdr:col>41</xdr:col>
      <xdr:colOff>0</xdr:colOff>
      <xdr:row>16</xdr:row>
      <xdr:rowOff>0</xdr:rowOff>
    </xdr:to>
    <xdr:sp macro="" textlink="">
      <xdr:nvSpPr>
        <xdr:cNvPr id="2" name="テキスト ボックス 1">
          <a:extLst>
            <a:ext uri="{FF2B5EF4-FFF2-40B4-BE49-F238E27FC236}">
              <a16:creationId xmlns:a16="http://schemas.microsoft.com/office/drawing/2014/main" id="{F8826389-23E6-46E5-8E7B-52623B89F54D}"/>
            </a:ext>
          </a:extLst>
        </xdr:cNvPr>
        <xdr:cNvSpPr txBox="1"/>
      </xdr:nvSpPr>
      <xdr:spPr>
        <a:xfrm>
          <a:off x="6515100" y="2324100"/>
          <a:ext cx="17526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32</xdr:col>
      <xdr:colOff>66675</xdr:colOff>
      <xdr:row>3</xdr:row>
      <xdr:rowOff>114300</xdr:rowOff>
    </xdr:from>
    <xdr:to>
      <xdr:col>41</xdr:col>
      <xdr:colOff>0</xdr:colOff>
      <xdr:row>7</xdr:row>
      <xdr:rowOff>228600</xdr:rowOff>
    </xdr:to>
    <xdr:sp macro="" textlink="">
      <xdr:nvSpPr>
        <xdr:cNvPr id="3" name="テキスト ボックス 2">
          <a:extLst>
            <a:ext uri="{FF2B5EF4-FFF2-40B4-BE49-F238E27FC236}">
              <a16:creationId xmlns:a16="http://schemas.microsoft.com/office/drawing/2014/main" id="{3D9A6A39-E7CD-408F-A7D3-6B415282ABC3}"/>
            </a:ext>
          </a:extLst>
        </xdr:cNvPr>
        <xdr:cNvSpPr txBox="1"/>
      </xdr:nvSpPr>
      <xdr:spPr>
        <a:xfrm>
          <a:off x="6534150" y="628650"/>
          <a:ext cx="17335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書類作成は行えますが、確認済証の窓口での処理が必要となるため、電子では行えません。</a:t>
          </a:r>
          <a:endParaRPr kumimoji="1" lang="en-US" altLang="ja-JP" sz="1100"/>
        </a:p>
      </xdr:txBody>
    </xdr:sp>
    <xdr:clientData/>
  </xdr:twoCellAnchor>
  <xdr:twoCellAnchor>
    <xdr:from>
      <xdr:col>32</xdr:col>
      <xdr:colOff>85724</xdr:colOff>
      <xdr:row>36</xdr:row>
      <xdr:rowOff>19050</xdr:rowOff>
    </xdr:from>
    <xdr:to>
      <xdr:col>40</xdr:col>
      <xdr:colOff>85725</xdr:colOff>
      <xdr:row>38</xdr:row>
      <xdr:rowOff>85725</xdr:rowOff>
    </xdr:to>
    <xdr:sp macro="" textlink="">
      <xdr:nvSpPr>
        <xdr:cNvPr id="4" name="テキスト ボックス 3">
          <a:extLst>
            <a:ext uri="{FF2B5EF4-FFF2-40B4-BE49-F238E27FC236}">
              <a16:creationId xmlns:a16="http://schemas.microsoft.com/office/drawing/2014/main" id="{C3267571-464D-449D-8B05-F34B6D8F613F}"/>
            </a:ext>
          </a:extLst>
        </xdr:cNvPr>
        <xdr:cNvSpPr txBox="1"/>
      </xdr:nvSpPr>
      <xdr:spPr>
        <a:xfrm>
          <a:off x="6553199" y="6191250"/>
          <a:ext cx="160020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sheetPr>
  <dimension ref="A1:N3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14.25" customHeight="1"/>
  <cols>
    <col min="1" max="1" width="28.25" style="19" customWidth="1"/>
    <col min="2" max="2" width="23.375" style="19" customWidth="1"/>
    <col min="3" max="3" width="16.75" style="19" customWidth="1"/>
    <col min="4" max="5" width="3.625" style="17" customWidth="1"/>
    <col min="6" max="10" width="10.625" style="17" customWidth="1"/>
    <col min="11" max="14" width="13.625" style="17" customWidth="1"/>
    <col min="15" max="15" width="9" style="17" customWidth="1"/>
    <col min="16" max="16384" width="9" style="17"/>
  </cols>
  <sheetData>
    <row r="1" spans="1:14" ht="63.75" customHeight="1">
      <c r="A1" s="18" t="s">
        <v>0</v>
      </c>
      <c r="B1" s="18" t="s">
        <v>1</v>
      </c>
      <c r="C1" s="18" t="s">
        <v>2</v>
      </c>
      <c r="D1" s="685" t="s">
        <v>3</v>
      </c>
      <c r="E1" s="685"/>
      <c r="F1" s="217" t="s">
        <v>4</v>
      </c>
      <c r="G1" s="17" t="s">
        <v>5</v>
      </c>
      <c r="H1" s="17" t="s">
        <v>6</v>
      </c>
      <c r="I1" s="17" t="s">
        <v>7</v>
      </c>
      <c r="J1" s="17" t="s">
        <v>8</v>
      </c>
      <c r="K1" s="17" t="s">
        <v>9</v>
      </c>
      <c r="L1" s="17" t="s">
        <v>10</v>
      </c>
      <c r="M1" s="17" t="s">
        <v>11</v>
      </c>
      <c r="N1" s="17" t="s">
        <v>12</v>
      </c>
    </row>
    <row r="2" spans="1:14" ht="11.25">
      <c r="G2" s="217">
        <f t="shared" ref="G2:N2" si="0">IF(cst__output_sheetname=G1, 1, 0)</f>
        <v>0</v>
      </c>
      <c r="H2" s="217">
        <f>IF(cst__output_sheetname=H1, 1, 0)</f>
        <v>0</v>
      </c>
      <c r="I2" s="217">
        <f t="shared" si="0"/>
        <v>0</v>
      </c>
      <c r="J2" s="217">
        <f t="shared" si="0"/>
        <v>0</v>
      </c>
      <c r="K2" s="217">
        <f t="shared" si="0"/>
        <v>0</v>
      </c>
      <c r="L2" s="217">
        <f t="shared" si="0"/>
        <v>0</v>
      </c>
      <c r="M2" s="217">
        <f t="shared" si="0"/>
        <v>1</v>
      </c>
      <c r="N2" s="217">
        <f t="shared" si="0"/>
        <v>0</v>
      </c>
    </row>
    <row r="4" spans="1:14" ht="11.25">
      <c r="A4" s="19" t="s">
        <v>13</v>
      </c>
      <c r="B4" s="19">
        <v>-2</v>
      </c>
      <c r="C4" s="19">
        <v>-2</v>
      </c>
    </row>
    <row r="5" spans="1:14" ht="11.25">
      <c r="A5" s="19" t="s">
        <v>14</v>
      </c>
      <c r="B5" s="19">
        <v>-2</v>
      </c>
      <c r="C5" s="19">
        <v>-2</v>
      </c>
    </row>
    <row r="6" spans="1:14" ht="11.25">
      <c r="A6" s="19" t="s">
        <v>15</v>
      </c>
      <c r="B6" s="19">
        <v>-2</v>
      </c>
      <c r="C6" s="19">
        <v>-2</v>
      </c>
    </row>
    <row r="7" spans="1:14" ht="11.25">
      <c r="A7" s="19" t="s">
        <v>16</v>
      </c>
      <c r="B7" s="19">
        <v>-2</v>
      </c>
      <c r="C7" s="19">
        <v>-2</v>
      </c>
    </row>
    <row r="8" spans="1:14" ht="11.25">
      <c r="A8" s="19" t="s">
        <v>17</v>
      </c>
      <c r="B8" s="19">
        <v>-2</v>
      </c>
      <c r="C8" s="19">
        <v>-2</v>
      </c>
    </row>
    <row r="10" spans="1:14" ht="11.25">
      <c r="B10" s="19">
        <f>D10</f>
        <v>-2</v>
      </c>
      <c r="D10" s="17">
        <f>IF(F10&lt;&gt;"",IF(F10=1,IF(F10+E10=2,1,-2),F10),IF(E10=0,-2,E10))</f>
        <v>-2</v>
      </c>
      <c r="E10" s="17">
        <f t="shared" ref="E10:E32" si="1">IF(cst__output_sheetname="", 1, 0)+IF(AND(G10=1,G$2=1), 1, 0)+IF(AND(H10=1,H$2=1), 1, 0)+IF(AND(I10=1,I$2=1), 1, 0)+IF(AND(J10=1,J$2=1), 1, 0)+IF(AND(K10=1,K$2=1), 1, 0)+IF(AND(L10=1,L$2=1), 1, 0)+IF(AND(M10=1,M$2=1), 1, 0)+IF(AND(N10=1,N$2=1), 1, 0)</f>
        <v>0</v>
      </c>
    </row>
    <row r="11" spans="1:14" ht="11.25">
      <c r="A11" s="19" t="s">
        <v>18</v>
      </c>
      <c r="B11" s="19">
        <f t="shared" ref="B11:B12" si="2">D11</f>
        <v>-2</v>
      </c>
      <c r="D11" s="17">
        <f t="shared" ref="D11:D32" si="3">IF(F11&lt;&gt;"",IF(F11=1,IF(F11+E11=2,1,-2),F11),IF(E11=0,-2,E11))</f>
        <v>-2</v>
      </c>
      <c r="E11" s="17">
        <f t="shared" si="1"/>
        <v>0</v>
      </c>
      <c r="F11" s="218">
        <v>-2</v>
      </c>
    </row>
    <row r="12" spans="1:14" ht="11.25">
      <c r="A12" s="19" t="s">
        <v>19</v>
      </c>
      <c r="B12" s="19">
        <f t="shared" si="2"/>
        <v>-2</v>
      </c>
      <c r="D12" s="17">
        <f t="shared" si="3"/>
        <v>-2</v>
      </c>
      <c r="E12" s="17">
        <f t="shared" si="1"/>
        <v>0</v>
      </c>
      <c r="F12" s="218">
        <v>-2</v>
      </c>
    </row>
    <row r="13" spans="1:14" ht="11.25">
      <c r="B13" s="19">
        <f>D13</f>
        <v>-2</v>
      </c>
      <c r="D13" s="17">
        <f t="shared" si="3"/>
        <v>-2</v>
      </c>
      <c r="E13" s="17">
        <f t="shared" si="1"/>
        <v>0</v>
      </c>
    </row>
    <row r="14" spans="1:14" ht="11.25">
      <c r="A14" s="19" t="s">
        <v>5</v>
      </c>
      <c r="B14" s="19">
        <f t="shared" ref="B14:B26" si="4">D14</f>
        <v>-2</v>
      </c>
      <c r="D14" s="17">
        <f t="shared" si="3"/>
        <v>-2</v>
      </c>
      <c r="E14" s="17">
        <f t="shared" si="1"/>
        <v>0</v>
      </c>
      <c r="G14" s="17">
        <v>1</v>
      </c>
    </row>
    <row r="15" spans="1:14" ht="11.25">
      <c r="A15" s="19" t="s">
        <v>20</v>
      </c>
      <c r="B15" s="19">
        <f t="shared" si="4"/>
        <v>-2</v>
      </c>
      <c r="D15" s="17">
        <f t="shared" si="3"/>
        <v>-2</v>
      </c>
      <c r="E15" s="17">
        <f t="shared" si="1"/>
        <v>0</v>
      </c>
      <c r="H15" s="17">
        <v>1</v>
      </c>
    </row>
    <row r="16" spans="1:14" ht="11.25">
      <c r="A16" s="19" t="s">
        <v>7</v>
      </c>
      <c r="B16" s="19">
        <f t="shared" si="4"/>
        <v>-2</v>
      </c>
      <c r="D16" s="17">
        <f t="shared" si="3"/>
        <v>-2</v>
      </c>
      <c r="E16" s="17">
        <f t="shared" si="1"/>
        <v>0</v>
      </c>
      <c r="I16" s="17">
        <v>1</v>
      </c>
    </row>
    <row r="17" spans="1:14" ht="11.25">
      <c r="A17" s="19" t="s">
        <v>21</v>
      </c>
      <c r="B17" s="19">
        <f t="shared" ref="B17:B20" si="5">D17</f>
        <v>-2</v>
      </c>
      <c r="D17" s="17">
        <f t="shared" si="3"/>
        <v>-2</v>
      </c>
      <c r="E17" s="17">
        <f t="shared" si="1"/>
        <v>0</v>
      </c>
      <c r="L17" s="17">
        <v>1</v>
      </c>
    </row>
    <row r="18" spans="1:14" ht="11.25">
      <c r="A18" s="19" t="s">
        <v>22</v>
      </c>
      <c r="B18" s="19">
        <f t="shared" si="5"/>
        <v>1</v>
      </c>
      <c r="D18" s="17">
        <f t="shared" si="3"/>
        <v>1</v>
      </c>
      <c r="E18" s="17">
        <f t="shared" si="1"/>
        <v>1</v>
      </c>
      <c r="M18" s="17">
        <v>1</v>
      </c>
    </row>
    <row r="19" spans="1:14" ht="11.25">
      <c r="A19" s="19" t="s">
        <v>23</v>
      </c>
      <c r="B19" s="19">
        <f t="shared" si="5"/>
        <v>-2</v>
      </c>
      <c r="D19" s="17">
        <f t="shared" si="3"/>
        <v>-2</v>
      </c>
      <c r="E19" s="17">
        <f t="shared" si="1"/>
        <v>0</v>
      </c>
      <c r="N19" s="17">
        <v>1</v>
      </c>
    </row>
    <row r="20" spans="1:14" ht="11.25">
      <c r="A20" s="19" t="s">
        <v>24</v>
      </c>
      <c r="B20" s="19">
        <f t="shared" si="5"/>
        <v>1</v>
      </c>
      <c r="D20" s="17">
        <f t="shared" si="3"/>
        <v>1</v>
      </c>
      <c r="E20" s="17">
        <f t="shared" si="1"/>
        <v>1</v>
      </c>
      <c r="L20" s="17">
        <v>1</v>
      </c>
      <c r="M20" s="17">
        <v>1</v>
      </c>
      <c r="N20" s="17">
        <v>1</v>
      </c>
    </row>
    <row r="21" spans="1:14" ht="11.25">
      <c r="A21" s="19" t="s">
        <v>25</v>
      </c>
      <c r="B21" s="19">
        <f t="shared" si="4"/>
        <v>-2</v>
      </c>
      <c r="D21" s="17">
        <f t="shared" si="3"/>
        <v>-2</v>
      </c>
      <c r="E21" s="17">
        <f t="shared" si="1"/>
        <v>0</v>
      </c>
      <c r="K21" s="17">
        <v>1</v>
      </c>
    </row>
    <row r="22" spans="1:14" ht="11.25">
      <c r="A22" s="19" t="s">
        <v>26</v>
      </c>
      <c r="B22" s="19">
        <f t="shared" ref="B22:B24" si="6">D22</f>
        <v>-2</v>
      </c>
      <c r="D22" s="17">
        <f t="shared" si="3"/>
        <v>-2</v>
      </c>
      <c r="E22" s="17">
        <f t="shared" si="1"/>
        <v>0</v>
      </c>
      <c r="J22" s="17">
        <v>1</v>
      </c>
    </row>
    <row r="23" spans="1:14" ht="11.25">
      <c r="A23" s="19" t="s">
        <v>27</v>
      </c>
      <c r="B23" s="19">
        <f t="shared" si="6"/>
        <v>-2</v>
      </c>
      <c r="D23" s="17">
        <f t="shared" si="3"/>
        <v>-2</v>
      </c>
      <c r="E23" s="17">
        <f t="shared" si="1"/>
        <v>0</v>
      </c>
      <c r="J23" s="17">
        <v>1</v>
      </c>
    </row>
    <row r="24" spans="1:14" ht="11.25">
      <c r="A24" s="19" t="s">
        <v>28</v>
      </c>
      <c r="B24" s="19">
        <f t="shared" si="6"/>
        <v>-2</v>
      </c>
      <c r="D24" s="17">
        <f t="shared" si="3"/>
        <v>-2</v>
      </c>
      <c r="E24" s="17">
        <f t="shared" si="1"/>
        <v>0</v>
      </c>
      <c r="J24" s="17">
        <v>1</v>
      </c>
    </row>
    <row r="25" spans="1:14" ht="11.25">
      <c r="A25" s="19" t="s">
        <v>29</v>
      </c>
      <c r="B25" s="19">
        <f t="shared" si="4"/>
        <v>-2</v>
      </c>
      <c r="D25" s="17">
        <f t="shared" si="3"/>
        <v>-2</v>
      </c>
      <c r="E25" s="17">
        <f t="shared" si="1"/>
        <v>0</v>
      </c>
      <c r="J25" s="17">
        <v>1</v>
      </c>
    </row>
    <row r="26" spans="1:14" ht="11.25">
      <c r="A26" s="19" t="s">
        <v>30</v>
      </c>
      <c r="B26" s="19">
        <f t="shared" si="4"/>
        <v>-2</v>
      </c>
      <c r="D26" s="17">
        <f t="shared" si="3"/>
        <v>-2</v>
      </c>
      <c r="E26" s="17">
        <f t="shared" si="1"/>
        <v>0</v>
      </c>
      <c r="J26" s="17">
        <v>1</v>
      </c>
    </row>
    <row r="27" spans="1:14" ht="11.25">
      <c r="A27" s="19" t="s">
        <v>31</v>
      </c>
      <c r="B27" s="19">
        <f t="shared" ref="B27:B28" si="7">D27</f>
        <v>-2</v>
      </c>
      <c r="D27" s="17">
        <f t="shared" si="3"/>
        <v>-2</v>
      </c>
      <c r="E27" s="17">
        <f t="shared" si="1"/>
        <v>0</v>
      </c>
      <c r="J27" s="17">
        <v>1</v>
      </c>
    </row>
    <row r="28" spans="1:14" ht="11.25">
      <c r="A28" s="19" t="s">
        <v>32</v>
      </c>
      <c r="B28" s="19">
        <f t="shared" si="7"/>
        <v>-2</v>
      </c>
      <c r="D28" s="17">
        <f t="shared" si="3"/>
        <v>-2</v>
      </c>
      <c r="E28" s="17">
        <f t="shared" si="1"/>
        <v>0</v>
      </c>
      <c r="J28" s="17">
        <v>1</v>
      </c>
    </row>
    <row r="29" spans="1:14" ht="11.25">
      <c r="D29" s="17">
        <f t="shared" si="3"/>
        <v>-2</v>
      </c>
      <c r="E29" s="17">
        <f t="shared" si="1"/>
        <v>0</v>
      </c>
    </row>
    <row r="30" spans="1:14" ht="11.25">
      <c r="D30" s="17">
        <f t="shared" si="3"/>
        <v>-2</v>
      </c>
      <c r="E30" s="17">
        <f t="shared" si="1"/>
        <v>0</v>
      </c>
    </row>
    <row r="31" spans="1:14" ht="11.25">
      <c r="A31" s="19" t="s">
        <v>33</v>
      </c>
      <c r="B31" s="19">
        <v>-2</v>
      </c>
      <c r="D31" s="17">
        <f t="shared" si="3"/>
        <v>-2</v>
      </c>
      <c r="E31" s="17">
        <f t="shared" si="1"/>
        <v>0</v>
      </c>
      <c r="F31" s="218">
        <v>-2</v>
      </c>
    </row>
    <row r="32" spans="1:14" ht="11.25">
      <c r="A32" s="19" t="s">
        <v>34</v>
      </c>
      <c r="B32" s="19">
        <f>D32</f>
        <v>-2</v>
      </c>
      <c r="D32" s="17">
        <f t="shared" si="3"/>
        <v>-2</v>
      </c>
      <c r="E32" s="17">
        <f t="shared" si="1"/>
        <v>0</v>
      </c>
      <c r="F32" s="217">
        <v>1</v>
      </c>
      <c r="G32" s="17">
        <v>1</v>
      </c>
      <c r="I32" s="17">
        <v>1</v>
      </c>
      <c r="J32" s="17">
        <v>1</v>
      </c>
    </row>
    <row r="33" spans="1:2" ht="11.25">
      <c r="A33" s="68" t="s">
        <v>35</v>
      </c>
      <c r="B33" s="19">
        <v>0</v>
      </c>
    </row>
    <row r="35" spans="1:2" ht="11.25">
      <c r="A35" s="20" t="s">
        <v>36</v>
      </c>
    </row>
    <row r="36" spans="1:2" ht="11.25">
      <c r="A36" s="20" t="s">
        <v>37</v>
      </c>
    </row>
  </sheetData>
  <customSheetViews>
    <customSheetView guid="{E028D9C5-4CBB-430B-B1F8-80DD1ABDFA29}">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headerFooter alignWithMargins="0"/>
    </customSheetView>
    <customSheetView guid="{D83ABAE7-1F4C-4C77-8E04-C5172671ED17}">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r:id="rId1"/>
      <headerFooter alignWithMargins="0"/>
    </customSheetView>
    <customSheetView guid="{2DA24103-744A-47E0-AFFB-F94A0E194D57}">
      <pane xSplit="1" ySplit="2" topLeftCell="B3" activePane="bottomRight" state="frozen"/>
      <selection pane="bottomRight" activeCell="B7" sqref="B7"/>
      <pageMargins left="0.78700000000000003" right="0.78700000000000003" top="0.98399999999999999" bottom="0.98399999999999999" header="0.51200000000000001" footer="0.51200000000000001"/>
      <pageSetup paperSize="9" orientation="portrait" r:id="rId2"/>
      <headerFooter alignWithMargins="0"/>
    </customSheetView>
  </customSheetViews>
  <mergeCells count="1">
    <mergeCell ref="D1:E1"/>
  </mergeCells>
  <phoneticPr fontId="7"/>
  <pageMargins left="0.78700000000000003" right="0.78700000000000003" top="0.98399999999999999" bottom="0.98399999999999999" header="0.51200000000000001" footer="0.51200000000000001"/>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02B-2621-4123-90B9-7F56F5C26E7A}">
  <dimension ref="A1:I54"/>
  <sheetViews>
    <sheetView zoomScaleNormal="100" workbookViewId="0">
      <selection sqref="A1:I2"/>
    </sheetView>
  </sheetViews>
  <sheetFormatPr defaultRowHeight="13.5"/>
  <cols>
    <col min="1" max="1" width="9" style="288" customWidth="1"/>
    <col min="2" max="16384" width="9" style="288"/>
  </cols>
  <sheetData>
    <row r="1" spans="1:9">
      <c r="A1" s="742" t="s">
        <v>2952</v>
      </c>
      <c r="B1" s="742"/>
      <c r="C1" s="742"/>
      <c r="D1" s="742"/>
      <c r="E1" s="742"/>
      <c r="F1" s="742"/>
      <c r="G1" s="742"/>
      <c r="H1" s="742"/>
      <c r="I1" s="742"/>
    </row>
    <row r="2" spans="1:9">
      <c r="A2" s="743"/>
      <c r="B2" s="743"/>
      <c r="C2" s="743"/>
      <c r="D2" s="743"/>
      <c r="E2" s="743"/>
      <c r="F2" s="743"/>
      <c r="G2" s="743"/>
      <c r="H2" s="743"/>
      <c r="I2" s="743"/>
    </row>
    <row r="3" spans="1:9" ht="18.75" customHeight="1">
      <c r="A3" s="302" t="s">
        <v>2953</v>
      </c>
    </row>
    <row r="23" spans="1:9">
      <c r="A23" s="301"/>
      <c r="B23" s="301"/>
      <c r="C23" s="301"/>
      <c r="D23" s="301"/>
      <c r="E23" s="301"/>
      <c r="F23" s="301"/>
      <c r="G23" s="301"/>
      <c r="H23" s="301"/>
      <c r="I23" s="301"/>
    </row>
    <row r="24" spans="1:9" ht="18.75" customHeight="1">
      <c r="A24" s="302" t="s">
        <v>2954</v>
      </c>
    </row>
    <row r="54" spans="1:9">
      <c r="A54" s="301"/>
      <c r="B54" s="301"/>
      <c r="C54" s="301"/>
      <c r="D54" s="301"/>
      <c r="E54" s="301"/>
      <c r="F54" s="301"/>
      <c r="G54" s="301"/>
      <c r="H54" s="301"/>
      <c r="I54" s="301"/>
    </row>
  </sheetData>
  <mergeCells count="1">
    <mergeCell ref="A1:I2"/>
  </mergeCells>
  <phoneticPr fontId="7"/>
  <printOptions horizontalCentered="1"/>
  <pageMargins left="0.70866141732283472" right="0.70866141732283472" top="0.74803149606299213" bottom="0.74803149606299213" header="0.31496062992125984" footer="0.31496062992125984"/>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A25B-E887-4D13-80AF-C5616B02AF6D}">
  <dimension ref="A1:V34"/>
  <sheetViews>
    <sheetView zoomScaleNormal="100" workbookViewId="0">
      <selection activeCell="W1" sqref="W1"/>
    </sheetView>
  </sheetViews>
  <sheetFormatPr defaultRowHeight="13.5"/>
  <cols>
    <col min="1" max="22" width="3.625" style="7" customWidth="1"/>
    <col min="23" max="23" width="9" style="7" customWidth="1"/>
    <col min="24" max="16384" width="9" style="7"/>
  </cols>
  <sheetData>
    <row r="1" spans="1:22" ht="18.75">
      <c r="A1" s="750" t="s">
        <v>7</v>
      </c>
      <c r="B1" s="750"/>
      <c r="C1" s="750"/>
      <c r="D1" s="750"/>
      <c r="E1" s="750"/>
      <c r="F1" s="750"/>
      <c r="G1" s="750"/>
      <c r="H1" s="750"/>
      <c r="I1" s="750"/>
      <c r="J1" s="750"/>
      <c r="K1" s="750"/>
      <c r="L1" s="750"/>
      <c r="M1" s="750"/>
      <c r="N1" s="750"/>
      <c r="O1" s="750"/>
      <c r="P1" s="750"/>
      <c r="Q1" s="750"/>
      <c r="R1" s="750"/>
      <c r="S1" s="750"/>
      <c r="T1" s="750"/>
      <c r="U1" s="750"/>
      <c r="V1" s="750"/>
    </row>
    <row r="2" spans="1:22">
      <c r="A2" s="286"/>
      <c r="B2" s="286"/>
      <c r="C2" s="286"/>
      <c r="D2" s="286"/>
      <c r="E2" s="286"/>
      <c r="F2" s="286"/>
      <c r="G2" s="286"/>
      <c r="H2" s="286"/>
      <c r="I2" s="286"/>
      <c r="J2" s="286"/>
      <c r="K2" s="286"/>
      <c r="L2" s="286"/>
      <c r="M2" s="286"/>
      <c r="N2" s="286"/>
      <c r="O2" s="286"/>
      <c r="P2" s="286"/>
      <c r="Q2" s="286"/>
      <c r="R2" s="286"/>
      <c r="S2" s="286"/>
      <c r="T2" s="286"/>
      <c r="U2" s="286"/>
      <c r="V2" s="286"/>
    </row>
    <row r="3" spans="1:22">
      <c r="A3" s="286" t="s">
        <v>2955</v>
      </c>
      <c r="B3" s="286"/>
      <c r="C3" s="286"/>
      <c r="D3" s="286"/>
      <c r="E3" s="286"/>
      <c r="F3" s="286"/>
      <c r="G3" s="286"/>
      <c r="H3" s="286"/>
      <c r="I3" s="286"/>
      <c r="J3" s="286"/>
      <c r="K3" s="286"/>
      <c r="L3" s="286"/>
      <c r="M3" s="286"/>
      <c r="N3" s="286"/>
      <c r="O3" s="286"/>
      <c r="P3" s="286"/>
      <c r="Q3" s="286"/>
      <c r="R3" s="286"/>
      <c r="S3" s="286"/>
      <c r="T3" s="286"/>
      <c r="U3" s="286"/>
      <c r="V3" s="286"/>
    </row>
    <row r="4" spans="1:22">
      <c r="A4" s="286"/>
      <c r="B4" s="286" t="s">
        <v>2956</v>
      </c>
      <c r="C4" s="286"/>
      <c r="D4" s="286"/>
      <c r="E4" s="286"/>
      <c r="F4" s="747" t="str">
        <f>cst_wsflat35_dairi1_POST&amp;" "&amp;cst_wskakunin_dairi1_NAME</f>
        <v xml:space="preserve"> 現場　猫</v>
      </c>
      <c r="G4" s="747"/>
      <c r="H4" s="747"/>
      <c r="I4" s="747"/>
      <c r="J4" s="747"/>
      <c r="K4" s="747"/>
      <c r="L4" s="747"/>
      <c r="M4" s="747"/>
      <c r="N4" s="747"/>
      <c r="O4" s="747"/>
      <c r="P4" s="747"/>
      <c r="Q4" s="747"/>
      <c r="R4" s="747"/>
      <c r="S4" s="747"/>
      <c r="T4" s="747"/>
      <c r="U4" s="747"/>
      <c r="V4" s="286"/>
    </row>
    <row r="5" spans="1:22">
      <c r="A5" s="286"/>
      <c r="B5" s="286"/>
      <c r="C5" s="286"/>
      <c r="D5" s="286" t="s">
        <v>2868</v>
      </c>
      <c r="E5" s="319" t="str">
        <f>IF(cst_wskakunin_dairi1_SIKAKU="一級","■","□")</f>
        <v>■</v>
      </c>
      <c r="F5" s="286" t="s">
        <v>2957</v>
      </c>
      <c r="G5" s="286"/>
      <c r="H5" s="286"/>
      <c r="I5" s="319" t="str">
        <f>IF(cst_wskakunin_dairi1_SIKAKU="二級","■","□")</f>
        <v>□</v>
      </c>
      <c r="J5" s="286" t="s">
        <v>2958</v>
      </c>
      <c r="K5" s="286"/>
      <c r="L5" s="286"/>
      <c r="M5" s="319" t="str">
        <f>IF(cst_wskakunin_dairi1_SIKAKU="木造","■","□")</f>
        <v>□</v>
      </c>
      <c r="N5" s="286" t="s">
        <v>2959</v>
      </c>
      <c r="O5" s="286"/>
      <c r="P5" s="286"/>
      <c r="Q5" s="319" t="str">
        <f>IF(cst_wskakunin_dairi1_SIKAKU="無資格","■","□")</f>
        <v>□</v>
      </c>
      <c r="R5" s="286" t="s">
        <v>1668</v>
      </c>
      <c r="S5" s="286"/>
      <c r="T5" s="286" t="s">
        <v>2869</v>
      </c>
      <c r="U5" s="286"/>
      <c r="V5" s="286"/>
    </row>
    <row r="6" spans="1:22">
      <c r="A6" s="286"/>
      <c r="B6" s="286" t="s">
        <v>2960</v>
      </c>
      <c r="C6" s="286"/>
      <c r="D6" s="286"/>
      <c r="E6" s="286"/>
      <c r="F6" s="747" t="str">
        <f>cst_wskakunin_dairi1_JIMU_NAME</f>
        <v>猫建築事務所</v>
      </c>
      <c r="G6" s="747"/>
      <c r="H6" s="747"/>
      <c r="I6" s="747"/>
      <c r="J6" s="747"/>
      <c r="K6" s="747"/>
      <c r="L6" s="747"/>
      <c r="M6" s="747"/>
      <c r="N6" s="747"/>
      <c r="O6" s="747"/>
      <c r="P6" s="747"/>
      <c r="Q6" s="747"/>
      <c r="R6" s="747"/>
      <c r="S6" s="747"/>
      <c r="T6" s="747"/>
      <c r="U6" s="747"/>
      <c r="V6" s="286"/>
    </row>
    <row r="7" spans="1:22">
      <c r="A7" s="286"/>
      <c r="B7" s="286" t="s">
        <v>2961</v>
      </c>
      <c r="C7" s="286"/>
      <c r="D7" s="286"/>
      <c r="E7" s="286"/>
      <c r="F7" s="747" t="str">
        <f>cst_wskakunin_dairi1__address</f>
        <v>京都府京都市中京区道場町1</v>
      </c>
      <c r="G7" s="747"/>
      <c r="H7" s="747"/>
      <c r="I7" s="747"/>
      <c r="J7" s="747"/>
      <c r="K7" s="747"/>
      <c r="L7" s="747"/>
      <c r="M7" s="747"/>
      <c r="N7" s="747"/>
      <c r="O7" s="747"/>
      <c r="P7" s="747"/>
      <c r="Q7" s="747"/>
      <c r="R7" s="747"/>
      <c r="S7" s="747"/>
      <c r="T7" s="747"/>
      <c r="U7" s="747"/>
      <c r="V7" s="286"/>
    </row>
    <row r="8" spans="1:22">
      <c r="A8" s="286"/>
      <c r="B8" s="286" t="s">
        <v>2962</v>
      </c>
      <c r="C8" s="286"/>
      <c r="D8" s="286"/>
      <c r="E8" s="286"/>
      <c r="F8" s="744" t="str">
        <f>cst_wskakunin_dairi1_TEL</f>
        <v>075-000-0000</v>
      </c>
      <c r="G8" s="744"/>
      <c r="H8" s="744"/>
      <c r="I8" s="744"/>
      <c r="J8" s="744"/>
      <c r="K8" s="744"/>
      <c r="L8" s="744"/>
      <c r="M8" s="744"/>
      <c r="N8" s="744"/>
      <c r="O8" s="744"/>
      <c r="P8" s="744"/>
      <c r="Q8" s="744"/>
      <c r="R8" s="744"/>
      <c r="S8" s="744"/>
      <c r="T8" s="744"/>
      <c r="U8" s="744"/>
      <c r="V8" s="286"/>
    </row>
    <row r="9" spans="1:22">
      <c r="A9" s="286"/>
      <c r="B9" s="286"/>
      <c r="C9" s="286"/>
      <c r="D9" s="286"/>
      <c r="E9" s="286"/>
      <c r="F9" s="286"/>
      <c r="G9" s="286"/>
      <c r="H9" s="286"/>
      <c r="I9" s="286"/>
      <c r="J9" s="286"/>
      <c r="K9" s="286"/>
      <c r="L9" s="286"/>
      <c r="M9" s="286"/>
      <c r="N9" s="286"/>
      <c r="O9" s="286"/>
      <c r="P9" s="286"/>
      <c r="Q9" s="286"/>
      <c r="R9" s="286"/>
      <c r="S9" s="286"/>
      <c r="T9" s="286"/>
      <c r="U9" s="286"/>
      <c r="V9" s="286"/>
    </row>
    <row r="10" spans="1:22">
      <c r="A10" s="286"/>
      <c r="B10" s="286"/>
      <c r="C10" s="286"/>
      <c r="D10" s="286"/>
      <c r="E10" s="286"/>
      <c r="F10" s="286"/>
      <c r="G10" s="286"/>
      <c r="H10" s="286"/>
      <c r="I10" s="286"/>
      <c r="J10" s="286"/>
      <c r="K10" s="286"/>
      <c r="L10" s="286"/>
      <c r="M10" s="286"/>
      <c r="N10" s="286"/>
      <c r="O10" s="286"/>
      <c r="P10" s="286"/>
      <c r="Q10" s="286"/>
      <c r="R10" s="286"/>
      <c r="S10" s="286"/>
      <c r="T10" s="286"/>
      <c r="U10" s="286"/>
      <c r="V10" s="286"/>
    </row>
    <row r="11" spans="1:22">
      <c r="A11" s="748" t="s">
        <v>2963</v>
      </c>
      <c r="B11" s="748"/>
      <c r="C11" s="748"/>
      <c r="D11" s="748"/>
      <c r="E11" s="748"/>
      <c r="F11" s="748"/>
      <c r="G11" s="748"/>
      <c r="H11" s="748"/>
      <c r="I11" s="748"/>
      <c r="J11" s="748"/>
      <c r="K11" s="748"/>
      <c r="L11" s="748"/>
      <c r="M11" s="748"/>
      <c r="N11" s="748"/>
      <c r="O11" s="748"/>
      <c r="P11" s="748"/>
      <c r="Q11" s="748"/>
      <c r="R11" s="748"/>
      <c r="S11" s="748"/>
      <c r="T11" s="748"/>
      <c r="U11" s="748"/>
      <c r="V11" s="751"/>
    </row>
    <row r="12" spans="1:22">
      <c r="A12" s="748" t="s">
        <v>2964</v>
      </c>
      <c r="B12" s="748"/>
      <c r="C12" s="748"/>
      <c r="D12" s="748"/>
      <c r="E12" s="748"/>
      <c r="F12" s="748"/>
      <c r="G12" s="748"/>
      <c r="H12" s="748"/>
      <c r="I12" s="748"/>
      <c r="J12" s="748"/>
      <c r="K12" s="748"/>
      <c r="L12" s="748"/>
      <c r="M12" s="748"/>
      <c r="N12" s="748"/>
      <c r="O12" s="748"/>
      <c r="P12" s="748"/>
      <c r="Q12" s="748"/>
      <c r="R12" s="748"/>
      <c r="S12" s="748"/>
      <c r="T12" s="748"/>
      <c r="U12" s="748"/>
      <c r="V12" s="286"/>
    </row>
    <row r="13" spans="1:22">
      <c r="A13" s="286"/>
      <c r="B13" s="286"/>
      <c r="C13" s="286"/>
      <c r="D13" s="286"/>
      <c r="E13" s="286"/>
      <c r="F13" s="286"/>
      <c r="G13" s="286"/>
      <c r="H13" s="286"/>
      <c r="I13" s="286"/>
      <c r="J13" s="286"/>
      <c r="K13" s="286"/>
      <c r="L13" s="286"/>
      <c r="M13" s="286"/>
      <c r="N13" s="286"/>
      <c r="O13" s="286"/>
      <c r="P13" s="286"/>
      <c r="Q13" s="286"/>
      <c r="R13" s="286"/>
      <c r="S13" s="286"/>
      <c r="T13" s="286"/>
      <c r="U13" s="286"/>
      <c r="V13" s="286"/>
    </row>
    <row r="14" spans="1:22">
      <c r="A14" s="286"/>
      <c r="B14" s="312"/>
      <c r="C14" s="286"/>
      <c r="D14" s="286"/>
      <c r="E14" s="286"/>
      <c r="F14" s="286"/>
      <c r="G14" s="286"/>
      <c r="H14" s="286"/>
      <c r="I14" s="286"/>
      <c r="J14" s="286"/>
      <c r="K14" s="286"/>
      <c r="L14" s="286"/>
      <c r="M14" s="286"/>
      <c r="N14" s="286"/>
      <c r="O14" s="286"/>
      <c r="P14" s="286"/>
      <c r="Q14" s="286"/>
      <c r="R14" s="286"/>
      <c r="S14" s="286"/>
      <c r="T14" s="286"/>
      <c r="U14" s="286"/>
      <c r="V14" s="286"/>
    </row>
    <row r="15" spans="1:22">
      <c r="A15" s="286"/>
      <c r="B15" s="313">
        <v>1</v>
      </c>
      <c r="C15" s="286" t="s">
        <v>1719</v>
      </c>
      <c r="D15" s="286"/>
      <c r="E15" s="286"/>
      <c r="F15" s="745" t="str">
        <f>cst_wskakunin_BUILD__address</f>
        <v>大阪府茨木市山手台2-2-2</v>
      </c>
      <c r="G15" s="745"/>
      <c r="H15" s="745"/>
      <c r="I15" s="745"/>
      <c r="J15" s="745"/>
      <c r="K15" s="745"/>
      <c r="L15" s="745"/>
      <c r="M15" s="745"/>
      <c r="N15" s="745"/>
      <c r="O15" s="745"/>
      <c r="P15" s="745"/>
      <c r="Q15" s="745"/>
      <c r="R15" s="745"/>
      <c r="S15" s="745"/>
      <c r="T15" s="745"/>
      <c r="U15" s="745"/>
      <c r="V15" s="286"/>
    </row>
    <row r="16" spans="1:22">
      <c r="A16" s="286"/>
      <c r="B16" s="313">
        <v>2</v>
      </c>
      <c r="C16" s="286" t="s">
        <v>1650</v>
      </c>
      <c r="D16" s="286"/>
      <c r="E16" s="286"/>
      <c r="F16" s="745" t="str">
        <f>cst_wskakunin_YOUTO</f>
        <v/>
      </c>
      <c r="G16" s="745"/>
      <c r="H16" s="745"/>
      <c r="I16" s="745"/>
      <c r="J16" s="745"/>
      <c r="K16" s="745"/>
      <c r="L16" s="745"/>
      <c r="M16" s="745"/>
      <c r="N16" s="745"/>
      <c r="O16" s="745"/>
      <c r="P16" s="745"/>
      <c r="Q16" s="745"/>
      <c r="R16" s="745"/>
      <c r="S16" s="745"/>
      <c r="T16" s="745"/>
      <c r="U16" s="745"/>
      <c r="V16" s="286"/>
    </row>
    <row r="17" spans="1:22">
      <c r="A17" s="286"/>
      <c r="B17" s="313">
        <v>3</v>
      </c>
      <c r="C17" s="286" t="s">
        <v>1670</v>
      </c>
      <c r="D17" s="286"/>
      <c r="E17" s="286"/>
      <c r="F17" s="319" t="str">
        <f>cst_wskakunin_KOUJI_SINTIKU_box</f>
        <v>■</v>
      </c>
      <c r="G17" s="286" t="s">
        <v>1879</v>
      </c>
      <c r="H17" s="286"/>
      <c r="I17" s="319" t="str">
        <f>cst_wskakunin_KOUJI_ZOUTIKU_box</f>
        <v>□</v>
      </c>
      <c r="J17" s="286" t="s">
        <v>1883</v>
      </c>
      <c r="K17" s="286"/>
      <c r="L17" s="319" t="str">
        <f>cst_wskakunin_KOUJI_KAITIKU_box</f>
        <v>□</v>
      </c>
      <c r="M17" s="286" t="s">
        <v>1886</v>
      </c>
      <c r="N17" s="286"/>
      <c r="O17" s="319" t="str">
        <f>cst_wskakunin_KOUJI_ITEN_box</f>
        <v>□</v>
      </c>
      <c r="P17" s="286" t="s">
        <v>1889</v>
      </c>
      <c r="Q17" s="286"/>
      <c r="R17" s="286"/>
      <c r="S17" s="286"/>
      <c r="T17" s="286"/>
      <c r="U17" s="286"/>
      <c r="V17" s="286"/>
    </row>
    <row r="18" spans="1:22">
      <c r="A18" s="286"/>
      <c r="B18" s="287"/>
      <c r="C18" s="286"/>
      <c r="D18" s="286"/>
      <c r="E18" s="286"/>
      <c r="F18" s="319" t="str">
        <f>cst_wskakunin_KOUJI_YOUTOHENKOU_box</f>
        <v>□</v>
      </c>
      <c r="G18" s="286" t="s">
        <v>1892</v>
      </c>
      <c r="H18" s="286"/>
      <c r="I18" s="286"/>
      <c r="J18" s="319" t="str">
        <f>cst_wskakunin_KOUJI_DAI_SYUUZEN_box</f>
        <v>□</v>
      </c>
      <c r="K18" s="286" t="s">
        <v>1896</v>
      </c>
      <c r="L18" s="286"/>
      <c r="M18" s="286"/>
      <c r="N18" s="286"/>
      <c r="O18" s="319" t="str">
        <f>cst_wskakunin_KOUJI_DAI_MOYOUGAE_box</f>
        <v>□</v>
      </c>
      <c r="P18" s="286" t="s">
        <v>1899</v>
      </c>
      <c r="Q18" s="286"/>
      <c r="R18" s="286"/>
      <c r="S18" s="286"/>
      <c r="T18" s="286"/>
      <c r="U18" s="286"/>
      <c r="V18" s="286"/>
    </row>
    <row r="19" spans="1:22">
      <c r="A19" s="286"/>
      <c r="B19" s="313">
        <v>4</v>
      </c>
      <c r="C19" s="286" t="s">
        <v>2965</v>
      </c>
      <c r="D19" s="286"/>
      <c r="E19" s="286"/>
      <c r="F19" s="286"/>
      <c r="G19" s="286"/>
      <c r="H19" s="286"/>
      <c r="I19" s="286"/>
      <c r="J19" s="286"/>
      <c r="K19" s="286"/>
      <c r="L19" s="286"/>
      <c r="M19" s="286"/>
      <c r="N19" s="286"/>
      <c r="O19" s="286"/>
      <c r="P19" s="286"/>
      <c r="Q19" s="286"/>
      <c r="R19" s="286"/>
      <c r="S19" s="286"/>
      <c r="T19" s="286"/>
      <c r="U19" s="286"/>
      <c r="V19" s="286"/>
    </row>
    <row r="20" spans="1:22">
      <c r="A20" s="286"/>
      <c r="B20" s="286"/>
      <c r="C20" s="286"/>
      <c r="D20" s="321" t="s">
        <v>2745</v>
      </c>
      <c r="E20" s="286" t="s">
        <v>2966</v>
      </c>
      <c r="F20" s="286"/>
      <c r="G20" s="286"/>
      <c r="H20" s="286"/>
      <c r="I20" s="286"/>
      <c r="J20" s="286"/>
      <c r="K20" s="286"/>
      <c r="L20" s="286"/>
      <c r="M20" s="321" t="s">
        <v>2745</v>
      </c>
      <c r="N20" s="286" t="s">
        <v>2967</v>
      </c>
      <c r="O20" s="286"/>
      <c r="P20" s="286"/>
      <c r="Q20" s="286"/>
      <c r="R20" s="286"/>
      <c r="S20" s="286"/>
      <c r="T20" s="286"/>
      <c r="U20" s="286"/>
      <c r="V20" s="286"/>
    </row>
    <row r="21" spans="1:22">
      <c r="A21" s="286"/>
      <c r="B21" s="286"/>
      <c r="C21" s="286"/>
      <c r="D21" s="321" t="s">
        <v>2745</v>
      </c>
      <c r="E21" s="286" t="s">
        <v>2968</v>
      </c>
      <c r="F21" s="286"/>
      <c r="G21" s="286"/>
      <c r="H21" s="286"/>
      <c r="I21" s="286"/>
      <c r="J21" s="286"/>
      <c r="K21" s="286"/>
      <c r="L21" s="286"/>
      <c r="M21" s="321" t="s">
        <v>2745</v>
      </c>
      <c r="N21" s="286"/>
      <c r="O21" s="286"/>
      <c r="P21" s="286"/>
      <c r="Q21" s="286"/>
      <c r="R21" s="286"/>
      <c r="S21" s="286"/>
      <c r="T21" s="286"/>
      <c r="U21" s="286"/>
      <c r="V21" s="286"/>
    </row>
    <row r="22" spans="1:22">
      <c r="A22" s="286"/>
      <c r="B22" s="286"/>
      <c r="C22" s="286"/>
      <c r="D22" s="321" t="s">
        <v>2745</v>
      </c>
      <c r="E22" s="286" t="s">
        <v>2969</v>
      </c>
      <c r="F22" s="286"/>
      <c r="G22" s="286"/>
      <c r="H22" s="286"/>
      <c r="I22" s="286"/>
      <c r="J22" s="286"/>
      <c r="K22" s="286"/>
      <c r="L22" s="286"/>
      <c r="M22" s="321" t="s">
        <v>2745</v>
      </c>
      <c r="N22" s="286" t="s">
        <v>2970</v>
      </c>
      <c r="O22" s="286"/>
      <c r="P22" s="286"/>
      <c r="Q22" s="286"/>
      <c r="R22" s="286"/>
      <c r="S22" s="286"/>
      <c r="T22" s="286"/>
      <c r="U22" s="286"/>
      <c r="V22" s="286"/>
    </row>
    <row r="23" spans="1:22">
      <c r="A23" s="286"/>
      <c r="B23" s="286"/>
      <c r="C23" s="286"/>
      <c r="D23" s="321" t="s">
        <v>2745</v>
      </c>
      <c r="E23" s="286" t="s">
        <v>2971</v>
      </c>
      <c r="F23" s="286"/>
      <c r="G23" s="286"/>
      <c r="H23" s="286"/>
      <c r="I23" s="286"/>
      <c r="J23" s="286"/>
      <c r="K23" s="286"/>
      <c r="L23" s="286"/>
      <c r="M23" s="321" t="s">
        <v>2745</v>
      </c>
      <c r="N23" s="286" t="s">
        <v>2972</v>
      </c>
      <c r="O23" s="286"/>
      <c r="P23" s="286"/>
      <c r="Q23" s="286"/>
      <c r="R23" s="286"/>
      <c r="S23" s="286"/>
      <c r="T23" s="286"/>
      <c r="U23" s="286"/>
      <c r="V23" s="286"/>
    </row>
    <row r="24" spans="1:22">
      <c r="A24" s="286"/>
      <c r="B24" s="286"/>
      <c r="C24" s="286"/>
      <c r="D24" s="321" t="s">
        <v>2745</v>
      </c>
      <c r="E24" s="286" t="s">
        <v>2973</v>
      </c>
      <c r="F24" s="286"/>
      <c r="G24" s="286"/>
      <c r="H24" s="286"/>
      <c r="I24" s="286"/>
      <c r="J24" s="286"/>
      <c r="K24" s="286"/>
      <c r="L24" s="286"/>
      <c r="M24" s="321" t="s">
        <v>2745</v>
      </c>
      <c r="N24" s="286" t="s">
        <v>2974</v>
      </c>
      <c r="O24" s="286"/>
      <c r="P24" s="286"/>
      <c r="Q24" s="286"/>
      <c r="R24" s="286"/>
      <c r="S24" s="286"/>
      <c r="T24" s="286"/>
      <c r="U24" s="286"/>
      <c r="V24" s="286"/>
    </row>
    <row r="25" spans="1:22">
      <c r="A25" s="286"/>
      <c r="B25" s="286"/>
      <c r="C25" s="286"/>
      <c r="D25" s="321" t="s">
        <v>2745</v>
      </c>
      <c r="E25" s="286" t="s">
        <v>2975</v>
      </c>
      <c r="F25" s="286"/>
      <c r="G25" s="286"/>
      <c r="H25" s="286"/>
      <c r="I25" s="286"/>
      <c r="J25" s="286"/>
      <c r="K25" s="286"/>
      <c r="L25" s="286"/>
      <c r="M25" s="321" t="s">
        <v>2745</v>
      </c>
      <c r="N25" s="286" t="s">
        <v>2976</v>
      </c>
      <c r="O25" s="286"/>
      <c r="P25" s="286"/>
      <c r="Q25" s="286"/>
      <c r="R25" s="286"/>
      <c r="S25" s="286"/>
      <c r="T25" s="286"/>
      <c r="U25" s="286"/>
      <c r="V25" s="286"/>
    </row>
    <row r="26" spans="1:22">
      <c r="A26" s="286"/>
      <c r="B26" s="286"/>
      <c r="C26" s="286"/>
      <c r="D26" s="321" t="s">
        <v>2745</v>
      </c>
      <c r="E26" s="286" t="s">
        <v>2977</v>
      </c>
      <c r="F26" s="286"/>
      <c r="G26" s="286"/>
      <c r="H26" s="286"/>
      <c r="I26" s="286"/>
      <c r="J26" s="286"/>
      <c r="K26" s="286"/>
      <c r="L26" s="286"/>
      <c r="M26" s="286"/>
      <c r="N26" s="286"/>
      <c r="O26" s="286"/>
      <c r="P26" s="286"/>
      <c r="Q26" s="286"/>
      <c r="R26" s="286"/>
      <c r="S26" s="286"/>
      <c r="T26" s="286"/>
      <c r="U26" s="286"/>
      <c r="V26" s="286"/>
    </row>
    <row r="27" spans="1:22">
      <c r="A27" s="286"/>
      <c r="B27" s="286"/>
      <c r="C27" s="286"/>
      <c r="D27" s="321" t="s">
        <v>2745</v>
      </c>
      <c r="E27" s="286" t="s">
        <v>2978</v>
      </c>
      <c r="F27" s="286"/>
      <c r="G27" s="286"/>
      <c r="H27" s="286"/>
      <c r="I27" s="286"/>
      <c r="J27" s="286"/>
      <c r="K27" s="286"/>
      <c r="L27" s="286"/>
      <c r="M27" s="286"/>
      <c r="N27" s="286"/>
      <c r="O27" s="286"/>
      <c r="P27" s="286"/>
      <c r="Q27" s="286"/>
      <c r="R27" s="286"/>
      <c r="S27" s="286"/>
      <c r="T27" s="286"/>
      <c r="U27" s="286"/>
      <c r="V27" s="286"/>
    </row>
    <row r="28" spans="1:22">
      <c r="A28" s="286"/>
      <c r="B28" s="286"/>
      <c r="C28" s="286"/>
      <c r="D28" s="321" t="s">
        <v>2745</v>
      </c>
      <c r="E28" s="286" t="s">
        <v>1668</v>
      </c>
      <c r="F28" s="286"/>
      <c r="G28" s="286" t="s">
        <v>2868</v>
      </c>
      <c r="H28" s="746"/>
      <c r="I28" s="746"/>
      <c r="J28" s="746"/>
      <c r="K28" s="746"/>
      <c r="L28" s="746"/>
      <c r="M28" s="746"/>
      <c r="N28" s="746"/>
      <c r="O28" s="746"/>
      <c r="P28" s="746"/>
      <c r="Q28" s="746"/>
      <c r="R28" s="746"/>
      <c r="S28" s="746"/>
      <c r="T28" s="311" t="s">
        <v>2869</v>
      </c>
      <c r="U28" s="286"/>
      <c r="V28" s="286"/>
    </row>
    <row r="29" spans="1:22">
      <c r="A29" s="286"/>
      <c r="B29" s="286"/>
      <c r="C29" s="286"/>
      <c r="D29" s="286"/>
      <c r="E29" s="286"/>
      <c r="F29" s="286"/>
      <c r="G29" s="286"/>
      <c r="H29" s="286"/>
      <c r="I29" s="286"/>
      <c r="J29" s="286"/>
      <c r="K29" s="286"/>
      <c r="L29" s="286"/>
      <c r="M29" s="286"/>
      <c r="N29" s="286"/>
      <c r="O29" s="286"/>
      <c r="P29" s="286"/>
      <c r="Q29" s="286"/>
      <c r="R29" s="286"/>
      <c r="S29" s="286"/>
      <c r="T29" s="286"/>
      <c r="U29" s="286"/>
      <c r="V29" s="286"/>
    </row>
    <row r="30" spans="1:22">
      <c r="A30" s="286"/>
      <c r="B30" s="286"/>
      <c r="C30" s="286"/>
      <c r="D30" s="286"/>
      <c r="E30" s="286"/>
      <c r="F30" s="286"/>
      <c r="G30" s="286"/>
      <c r="H30" s="286"/>
      <c r="I30" s="286"/>
      <c r="J30" s="286"/>
      <c r="K30" s="286"/>
      <c r="L30" s="286"/>
      <c r="M30" s="286"/>
      <c r="N30" s="286"/>
      <c r="O30" s="286"/>
      <c r="P30" s="286"/>
      <c r="Q30" s="286"/>
      <c r="R30" s="286"/>
      <c r="S30" s="286"/>
      <c r="T30" s="286"/>
      <c r="U30" s="286"/>
      <c r="V30" s="286"/>
    </row>
    <row r="31" spans="1:22">
      <c r="A31" s="286" t="s">
        <v>2979</v>
      </c>
      <c r="B31" s="286"/>
      <c r="C31" s="286"/>
      <c r="D31" s="286"/>
      <c r="E31" s="286"/>
      <c r="F31" s="286"/>
      <c r="G31" s="286"/>
      <c r="H31" s="286"/>
      <c r="I31" s="286"/>
      <c r="J31" s="286"/>
      <c r="K31" s="286"/>
      <c r="L31" s="286"/>
      <c r="M31" s="286"/>
      <c r="N31" s="286"/>
      <c r="O31" s="286"/>
      <c r="P31" s="320"/>
      <c r="Q31" s="286" t="s">
        <v>2822</v>
      </c>
      <c r="R31" s="320"/>
      <c r="S31" s="286" t="s">
        <v>2823</v>
      </c>
      <c r="T31" s="320"/>
      <c r="U31" s="286" t="s">
        <v>2824</v>
      </c>
      <c r="V31" s="286"/>
    </row>
    <row r="32" spans="1:22">
      <c r="A32" s="286"/>
      <c r="B32" s="286" t="s">
        <v>2956</v>
      </c>
      <c r="C32" s="286"/>
      <c r="D32" s="286"/>
      <c r="E32" s="286"/>
      <c r="F32" s="744" t="str">
        <f>cst_wskakunin_owner1__space3</f>
        <v>猫山　花子</v>
      </c>
      <c r="G32" s="749"/>
      <c r="H32" s="749"/>
      <c r="I32" s="749"/>
      <c r="J32" s="749"/>
      <c r="K32" s="749"/>
      <c r="L32" s="749"/>
      <c r="M32" s="749"/>
      <c r="N32" s="749"/>
      <c r="O32" s="749"/>
      <c r="P32" s="749"/>
      <c r="Q32" s="749"/>
      <c r="R32" s="749"/>
      <c r="S32" s="749"/>
      <c r="T32" s="749"/>
      <c r="U32" s="749"/>
      <c r="V32" s="286"/>
    </row>
    <row r="33" spans="1:22">
      <c r="A33" s="286"/>
      <c r="B33" s="286" t="s">
        <v>2980</v>
      </c>
      <c r="C33" s="286"/>
      <c r="D33" s="286"/>
      <c r="E33" s="286"/>
      <c r="F33" s="744" t="str">
        <f>cst_wskakunin_owner1__address</f>
        <v>大阪府茨木市山手台2-2-2</v>
      </c>
      <c r="G33" s="744"/>
      <c r="H33" s="744"/>
      <c r="I33" s="744"/>
      <c r="J33" s="744"/>
      <c r="K33" s="744"/>
      <c r="L33" s="744"/>
      <c r="M33" s="744"/>
      <c r="N33" s="744"/>
      <c r="O33" s="744"/>
      <c r="P33" s="744"/>
      <c r="Q33" s="744"/>
      <c r="R33" s="744"/>
      <c r="S33" s="744"/>
      <c r="T33" s="744"/>
      <c r="U33" s="744"/>
      <c r="V33" s="286"/>
    </row>
    <row r="34" spans="1:22">
      <c r="A34" s="286"/>
      <c r="B34" s="286" t="s">
        <v>2962</v>
      </c>
      <c r="C34" s="286"/>
      <c r="D34" s="286"/>
      <c r="E34" s="286"/>
      <c r="F34" s="744" t="str">
        <f>cst_wskakunin_owner1_TEL</f>
        <v>なし</v>
      </c>
      <c r="G34" s="744"/>
      <c r="H34" s="744"/>
      <c r="I34" s="744"/>
      <c r="J34" s="744"/>
      <c r="K34" s="744"/>
      <c r="L34" s="744"/>
      <c r="M34" s="744"/>
      <c r="N34" s="744"/>
      <c r="O34" s="744"/>
      <c r="P34" s="744"/>
      <c r="Q34" s="744"/>
      <c r="R34" s="744"/>
      <c r="S34" s="744"/>
      <c r="T34" s="744"/>
      <c r="U34" s="744"/>
      <c r="V34" s="286"/>
    </row>
  </sheetData>
  <mergeCells count="13">
    <mergeCell ref="A1:V1"/>
    <mergeCell ref="F6:U6"/>
    <mergeCell ref="F7:U7"/>
    <mergeCell ref="F8:U8"/>
    <mergeCell ref="A11:V11"/>
    <mergeCell ref="F34:U34"/>
    <mergeCell ref="F15:U15"/>
    <mergeCell ref="F16:U16"/>
    <mergeCell ref="H28:S28"/>
    <mergeCell ref="F4:U4"/>
    <mergeCell ref="F33:U33"/>
    <mergeCell ref="A12:U12"/>
    <mergeCell ref="F32:U32"/>
  </mergeCells>
  <phoneticPr fontId="7"/>
  <dataValidations count="1">
    <dataValidation type="list" allowBlank="1" showInputMessage="1" showErrorMessage="1" sqref="D20:D28 M20:M25" xr:uid="{F1A6BBDE-B5A1-45E1-9630-37A7722544C7}">
      <formula1>しろくろ</formula1>
    </dataValidation>
  </dataValidations>
  <printOptions horizontalCentered="1"/>
  <pageMargins left="0.39370078740157483" right="0.39370078740157483" top="0.74803149606299213" bottom="0.74803149606299213" header="0.31496062992125984" footer="0.31496062992125984"/>
  <pageSetup paperSize="9"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0B74-C077-427E-B4F5-7E0F3B0783A4}">
  <dimension ref="A1:T41"/>
  <sheetViews>
    <sheetView zoomScale="130" zoomScaleNormal="130" workbookViewId="0">
      <selection activeCell="U1" sqref="U1"/>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2981</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t="s">
        <v>2985</v>
      </c>
    </row>
    <row r="10" spans="1:20">
      <c r="B10" s="332" t="s">
        <v>2986</v>
      </c>
    </row>
    <row r="13" spans="1:20" ht="24.95" customHeight="1">
      <c r="A13" s="776" t="s">
        <v>2987</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2989</v>
      </c>
      <c r="B15" s="752"/>
      <c r="C15" s="753"/>
      <c r="D15" s="332" t="s">
        <v>2982</v>
      </c>
      <c r="E15" s="684"/>
      <c r="F15" s="332" t="s">
        <v>2990</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D20:J21"/>
    <mergeCell ref="D18:J19"/>
    <mergeCell ref="A13:C14"/>
    <mergeCell ref="A20:C21"/>
    <mergeCell ref="A18:C19"/>
    <mergeCell ref="F13:F14"/>
    <mergeCell ref="H13:H14"/>
    <mergeCell ref="E13:E14"/>
    <mergeCell ref="G13:G14"/>
    <mergeCell ref="D13:D14"/>
    <mergeCell ref="A17:C17"/>
    <mergeCell ref="A15:C16"/>
    <mergeCell ref="F16:I16"/>
    <mergeCell ref="J13:J14"/>
    <mergeCell ref="I13:I14"/>
    <mergeCell ref="K19:M21"/>
    <mergeCell ref="K17:M18"/>
    <mergeCell ref="R3:S3"/>
    <mergeCell ref="K13:M14"/>
    <mergeCell ref="K15:M16"/>
    <mergeCell ref="N17:T18"/>
    <mergeCell ref="N15:T16"/>
    <mergeCell ref="N13:T14"/>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1CF-969E-4961-83DA-613089205F11}">
  <dimension ref="A1:T41"/>
  <sheetViews>
    <sheetView tabSelected="1" zoomScale="130" zoomScaleNormal="130" workbookViewId="0">
      <selection activeCell="O5" sqref="O5"/>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2998</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N3" s="1080"/>
      <c r="R3" s="1081"/>
      <c r="S3" s="1081"/>
    </row>
    <row r="5" spans="1:20">
      <c r="N5" s="332" t="str">
        <f ca="1">TEXT(TODAY(),"ggg")</f>
        <v>令和</v>
      </c>
      <c r="O5" s="365"/>
      <c r="P5" s="332" t="s">
        <v>2822</v>
      </c>
      <c r="Q5" s="365"/>
      <c r="R5" s="332" t="s">
        <v>2823</v>
      </c>
      <c r="S5" s="365"/>
      <c r="T5" s="332" t="s">
        <v>2824</v>
      </c>
    </row>
    <row r="7" spans="1:20">
      <c r="A7" s="332" t="s">
        <v>2984</v>
      </c>
    </row>
    <row r="9" spans="1:20">
      <c r="B9" s="354"/>
    </row>
    <row r="13" spans="1:20" ht="24.95" customHeight="1">
      <c r="A13" s="776" t="s">
        <v>2999</v>
      </c>
      <c r="B13" s="777"/>
      <c r="C13" s="778"/>
      <c r="D13" s="786" t="str">
        <f ca="1">TEXT(TODAY(),"ggg")</f>
        <v>令和</v>
      </c>
      <c r="E13" s="782"/>
      <c r="F13" s="763" t="s">
        <v>2822</v>
      </c>
      <c r="G13" s="784"/>
      <c r="H13" s="763" t="s">
        <v>2823</v>
      </c>
      <c r="I13" s="793"/>
      <c r="J13" s="764" t="s">
        <v>2824</v>
      </c>
      <c r="K13" s="763" t="s">
        <v>2988</v>
      </c>
      <c r="L13" s="763"/>
      <c r="M13" s="764"/>
      <c r="N13" s="771"/>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3000</v>
      </c>
      <c r="B15" s="752"/>
      <c r="C15" s="753"/>
      <c r="D15" s="332" t="s">
        <v>2982</v>
      </c>
      <c r="E15" s="684"/>
      <c r="F15" s="332" t="s">
        <v>3001</v>
      </c>
      <c r="J15" s="353"/>
      <c r="K15" s="758" t="s">
        <v>2828</v>
      </c>
      <c r="L15" s="758"/>
      <c r="M15" s="759"/>
      <c r="N15" s="765"/>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c r="O17" s="766"/>
      <c r="P17" s="766"/>
      <c r="Q17" s="766"/>
      <c r="R17" s="766"/>
      <c r="S17" s="766"/>
      <c r="T17" s="767"/>
    </row>
    <row r="18" spans="1:20" ht="24.95" customHeight="1">
      <c r="A18" s="780" t="s">
        <v>181</v>
      </c>
      <c r="B18" s="758"/>
      <c r="C18" s="759"/>
      <c r="D18" s="765"/>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2">
    <mergeCell ref="A17:C17"/>
    <mergeCell ref="K17:M18"/>
    <mergeCell ref="A18:C19"/>
    <mergeCell ref="K19:M21"/>
    <mergeCell ref="A20:C21"/>
    <mergeCell ref="D18:J19"/>
    <mergeCell ref="D20:J21"/>
    <mergeCell ref="N13:T14"/>
    <mergeCell ref="N15:T16"/>
    <mergeCell ref="N17:T18"/>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AC5B-DFE6-42FF-A396-73AFA8F501F7}">
  <dimension ref="A1:T41"/>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3002</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t="s">
        <v>3003</v>
      </c>
    </row>
    <row r="10" spans="1:20">
      <c r="B10" s="332" t="s">
        <v>2986</v>
      </c>
    </row>
    <row r="13" spans="1:20" ht="24.95" customHeight="1">
      <c r="A13" s="776" t="s">
        <v>3004</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3005</v>
      </c>
      <c r="B15" s="752"/>
      <c r="C15" s="753"/>
      <c r="D15" s="332" t="s">
        <v>2982</v>
      </c>
      <c r="E15" s="684"/>
      <c r="F15" s="332" t="s">
        <v>3006</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N13:T14"/>
    <mergeCell ref="N15:T16"/>
    <mergeCell ref="N17:T18"/>
    <mergeCell ref="R3:S3"/>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995A-868C-4FB6-BE77-A36A2A0C58D4}">
  <dimension ref="A1:T39"/>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21.95" customHeight="1">
      <c r="A1" s="363" t="s">
        <v>2995</v>
      </c>
      <c r="B1" s="346"/>
      <c r="C1" s="346"/>
      <c r="D1" s="346"/>
      <c r="E1" s="346"/>
      <c r="F1" s="346"/>
      <c r="G1" s="346"/>
      <c r="H1" s="346"/>
      <c r="I1" s="346"/>
      <c r="J1" s="347"/>
      <c r="K1" s="346" t="s">
        <v>2996</v>
      </c>
      <c r="L1" s="346"/>
      <c r="M1" s="346"/>
      <c r="N1" s="346"/>
      <c r="O1" s="346"/>
      <c r="P1" s="346"/>
      <c r="Q1" s="346"/>
      <c r="R1" s="346"/>
      <c r="S1" s="346"/>
      <c r="T1" s="347"/>
    </row>
    <row r="2" spans="1:20" ht="21.95" customHeight="1">
      <c r="A2" s="362"/>
      <c r="B2" s="342"/>
      <c r="C2" s="342"/>
      <c r="D2" s="342"/>
      <c r="E2" s="342"/>
      <c r="F2" s="342"/>
      <c r="G2" s="342"/>
      <c r="H2" s="342"/>
      <c r="I2" s="342"/>
      <c r="J2" s="343"/>
      <c r="K2" s="342"/>
      <c r="L2" s="342"/>
      <c r="M2" s="342"/>
      <c r="N2" s="342"/>
      <c r="O2" s="342"/>
      <c r="P2" s="342"/>
      <c r="Q2" s="342"/>
      <c r="R2" s="342"/>
      <c r="S2" s="342"/>
      <c r="T2" s="343"/>
    </row>
    <row r="3" spans="1:20" ht="21.95" customHeight="1">
      <c r="A3" s="361"/>
      <c r="B3" s="338"/>
      <c r="C3" s="338"/>
      <c r="D3" s="338"/>
      <c r="E3" s="338"/>
      <c r="F3" s="338"/>
      <c r="G3" s="338"/>
      <c r="H3" s="338"/>
      <c r="I3" s="338"/>
      <c r="J3" s="339"/>
      <c r="K3" s="338"/>
      <c r="L3" s="338"/>
      <c r="M3" s="338"/>
      <c r="N3" s="338"/>
      <c r="O3" s="338"/>
      <c r="P3" s="338"/>
      <c r="Q3" s="338"/>
      <c r="R3" s="338"/>
      <c r="S3" s="338"/>
      <c r="T3" s="339"/>
    </row>
    <row r="4" spans="1:20" ht="21.95" customHeight="1">
      <c r="A4" s="361"/>
      <c r="B4" s="338"/>
      <c r="C4" s="338"/>
      <c r="D4" s="338"/>
      <c r="E4" s="338"/>
      <c r="F4" s="338"/>
      <c r="G4" s="338"/>
      <c r="H4" s="338"/>
      <c r="I4" s="338"/>
      <c r="J4" s="339"/>
      <c r="K4" s="338"/>
      <c r="L4" s="338"/>
      <c r="M4" s="338"/>
      <c r="N4" s="338"/>
      <c r="O4" s="338"/>
      <c r="P4" s="338"/>
      <c r="Q4" s="338"/>
      <c r="R4" s="338"/>
      <c r="S4" s="338"/>
      <c r="T4" s="339"/>
    </row>
    <row r="5" spans="1:20" ht="21.95" customHeight="1">
      <c r="A5" s="361"/>
      <c r="B5" s="338"/>
      <c r="C5" s="338"/>
      <c r="D5" s="338"/>
      <c r="E5" s="338"/>
      <c r="F5" s="338"/>
      <c r="G5" s="338"/>
      <c r="H5" s="338"/>
      <c r="I5" s="338"/>
      <c r="J5" s="339"/>
      <c r="K5" s="338"/>
      <c r="L5" s="338"/>
      <c r="M5" s="338"/>
      <c r="N5" s="338"/>
      <c r="O5" s="338"/>
      <c r="P5" s="338"/>
      <c r="Q5" s="338"/>
      <c r="R5" s="338"/>
      <c r="S5" s="338"/>
      <c r="T5" s="339"/>
    </row>
    <row r="6" spans="1:20" ht="21.95" customHeight="1">
      <c r="A6" s="361"/>
      <c r="B6" s="338"/>
      <c r="C6" s="338"/>
      <c r="D6" s="338"/>
      <c r="E6" s="338"/>
      <c r="F6" s="338"/>
      <c r="G6" s="338"/>
      <c r="H6" s="338"/>
      <c r="I6" s="338"/>
      <c r="J6" s="339"/>
      <c r="K6" s="338"/>
      <c r="L6" s="338"/>
      <c r="M6" s="338"/>
      <c r="N6" s="338"/>
      <c r="O6" s="338"/>
      <c r="P6" s="338"/>
      <c r="Q6" s="338"/>
      <c r="R6" s="338"/>
      <c r="S6" s="338"/>
      <c r="T6" s="339"/>
    </row>
    <row r="7" spans="1:20" ht="21.95" customHeight="1">
      <c r="A7" s="361"/>
      <c r="B7" s="338"/>
      <c r="C7" s="338"/>
      <c r="D7" s="338"/>
      <c r="E7" s="338"/>
      <c r="F7" s="338"/>
      <c r="G7" s="338"/>
      <c r="H7" s="338"/>
      <c r="I7" s="338"/>
      <c r="J7" s="339"/>
      <c r="K7" s="338"/>
      <c r="L7" s="338"/>
      <c r="M7" s="338"/>
      <c r="N7" s="338"/>
      <c r="O7" s="338"/>
      <c r="P7" s="338"/>
      <c r="Q7" s="338"/>
      <c r="R7" s="338"/>
      <c r="S7" s="338"/>
      <c r="T7" s="339"/>
    </row>
    <row r="8" spans="1:20" ht="21.95" customHeight="1">
      <c r="A8" s="361"/>
      <c r="B8" s="338"/>
      <c r="C8" s="338"/>
      <c r="D8" s="338"/>
      <c r="E8" s="338"/>
      <c r="F8" s="338"/>
      <c r="G8" s="338"/>
      <c r="H8" s="338"/>
      <c r="I8" s="338"/>
      <c r="J8" s="339"/>
      <c r="K8" s="338"/>
      <c r="L8" s="338"/>
      <c r="M8" s="338"/>
      <c r="N8" s="338"/>
      <c r="O8" s="338"/>
      <c r="P8" s="338"/>
      <c r="Q8" s="338"/>
      <c r="R8" s="338"/>
      <c r="S8" s="338"/>
      <c r="T8" s="339"/>
    </row>
    <row r="9" spans="1:20" ht="21.95" customHeight="1">
      <c r="A9" s="361"/>
      <c r="B9" s="338"/>
      <c r="C9" s="338"/>
      <c r="D9" s="338"/>
      <c r="E9" s="338"/>
      <c r="F9" s="338"/>
      <c r="G9" s="338"/>
      <c r="H9" s="338"/>
      <c r="I9" s="338"/>
      <c r="J9" s="339"/>
      <c r="K9" s="338"/>
      <c r="L9" s="338"/>
      <c r="M9" s="338"/>
      <c r="N9" s="338"/>
      <c r="O9" s="338"/>
      <c r="P9" s="338"/>
      <c r="Q9" s="338"/>
      <c r="R9" s="338"/>
      <c r="S9" s="338"/>
      <c r="T9" s="339"/>
    </row>
    <row r="10" spans="1:20" ht="21.95" customHeight="1">
      <c r="A10" s="361"/>
      <c r="B10" s="338"/>
      <c r="C10" s="338"/>
      <c r="D10" s="338"/>
      <c r="E10" s="338"/>
      <c r="F10" s="338"/>
      <c r="G10" s="338"/>
      <c r="H10" s="338"/>
      <c r="I10" s="338"/>
      <c r="J10" s="339"/>
      <c r="K10" s="338"/>
      <c r="L10" s="338"/>
      <c r="M10" s="338"/>
      <c r="N10" s="338"/>
      <c r="O10" s="338"/>
      <c r="P10" s="338"/>
      <c r="Q10" s="338"/>
      <c r="R10" s="338"/>
      <c r="S10" s="338"/>
      <c r="T10" s="339"/>
    </row>
    <row r="11" spans="1:20" ht="21.95" customHeight="1">
      <c r="A11" s="361"/>
      <c r="B11" s="338"/>
      <c r="C11" s="338"/>
      <c r="D11" s="338"/>
      <c r="E11" s="338"/>
      <c r="F11" s="338"/>
      <c r="G11" s="338"/>
      <c r="H11" s="338"/>
      <c r="I11" s="338"/>
      <c r="J11" s="339"/>
      <c r="K11" s="338"/>
      <c r="L11" s="338"/>
      <c r="M11" s="338"/>
      <c r="N11" s="338"/>
      <c r="O11" s="338"/>
      <c r="P11" s="338"/>
      <c r="Q11" s="338"/>
      <c r="R11" s="338"/>
      <c r="S11" s="338"/>
      <c r="T11" s="339"/>
    </row>
    <row r="12" spans="1:20" ht="21.95" customHeight="1">
      <c r="A12" s="361"/>
      <c r="B12" s="338"/>
      <c r="C12" s="338"/>
      <c r="D12" s="338"/>
      <c r="E12" s="338"/>
      <c r="F12" s="338"/>
      <c r="G12" s="338"/>
      <c r="H12" s="338"/>
      <c r="I12" s="338"/>
      <c r="J12" s="339"/>
      <c r="K12" s="338"/>
      <c r="L12" s="338"/>
      <c r="M12" s="338"/>
      <c r="N12" s="338"/>
      <c r="O12" s="338"/>
      <c r="P12" s="338"/>
      <c r="Q12" s="338"/>
      <c r="R12" s="338"/>
      <c r="S12" s="338"/>
      <c r="T12" s="339"/>
    </row>
    <row r="13" spans="1:20" ht="21.95" customHeight="1">
      <c r="A13" s="361"/>
      <c r="B13" s="338"/>
      <c r="C13" s="338"/>
      <c r="D13" s="338"/>
      <c r="E13" s="338"/>
      <c r="F13" s="338"/>
      <c r="G13" s="338"/>
      <c r="H13" s="338"/>
      <c r="I13" s="338"/>
      <c r="J13" s="339"/>
      <c r="K13" s="338"/>
      <c r="L13" s="338"/>
      <c r="M13" s="338"/>
      <c r="N13" s="338"/>
      <c r="O13" s="338"/>
      <c r="P13" s="338"/>
      <c r="Q13" s="338"/>
      <c r="R13" s="338"/>
      <c r="S13" s="338"/>
      <c r="T13" s="339"/>
    </row>
    <row r="14" spans="1:20" ht="21.95" customHeight="1">
      <c r="A14" s="361"/>
      <c r="B14" s="338"/>
      <c r="C14" s="338"/>
      <c r="D14" s="338"/>
      <c r="E14" s="338"/>
      <c r="F14" s="338"/>
      <c r="G14" s="338"/>
      <c r="H14" s="338"/>
      <c r="I14" s="338"/>
      <c r="J14" s="339"/>
      <c r="K14" s="338"/>
      <c r="L14" s="338"/>
      <c r="M14" s="338"/>
      <c r="N14" s="338"/>
      <c r="O14" s="338"/>
      <c r="P14" s="338"/>
      <c r="Q14" s="338"/>
      <c r="R14" s="338"/>
      <c r="S14" s="338"/>
      <c r="T14" s="339"/>
    </row>
    <row r="15" spans="1:20" ht="21.95" customHeight="1">
      <c r="A15" s="361"/>
      <c r="B15" s="338"/>
      <c r="C15" s="338"/>
      <c r="D15" s="338"/>
      <c r="E15" s="338"/>
      <c r="F15" s="338"/>
      <c r="G15" s="338"/>
      <c r="H15" s="338"/>
      <c r="I15" s="338"/>
      <c r="J15" s="339"/>
      <c r="K15" s="338"/>
      <c r="L15" s="338"/>
      <c r="M15" s="338"/>
      <c r="N15" s="338"/>
      <c r="O15" s="338"/>
      <c r="P15" s="338"/>
      <c r="Q15" s="338"/>
      <c r="R15" s="338"/>
      <c r="S15" s="338"/>
      <c r="T15" s="339"/>
    </row>
    <row r="16" spans="1:20" ht="21.95" customHeight="1">
      <c r="A16" s="361"/>
      <c r="B16" s="338"/>
      <c r="C16" s="338"/>
      <c r="D16" s="338"/>
      <c r="E16" s="338"/>
      <c r="F16" s="338"/>
      <c r="G16" s="338"/>
      <c r="H16" s="338"/>
      <c r="I16" s="338"/>
      <c r="J16" s="339"/>
      <c r="K16" s="338"/>
      <c r="L16" s="338"/>
      <c r="M16" s="338"/>
      <c r="N16" s="338"/>
      <c r="O16" s="338"/>
      <c r="P16" s="338"/>
      <c r="Q16" s="338"/>
      <c r="R16" s="338"/>
      <c r="S16" s="338"/>
      <c r="T16" s="339"/>
    </row>
    <row r="17" spans="1:20" ht="21.95" customHeight="1">
      <c r="A17" s="361"/>
      <c r="B17" s="338"/>
      <c r="C17" s="338"/>
      <c r="D17" s="338"/>
      <c r="E17" s="338"/>
      <c r="F17" s="338"/>
      <c r="G17" s="338"/>
      <c r="H17" s="338"/>
      <c r="I17" s="338"/>
      <c r="J17" s="339"/>
      <c r="K17" s="338"/>
      <c r="L17" s="338"/>
      <c r="M17" s="338"/>
      <c r="N17" s="338"/>
      <c r="O17" s="338"/>
      <c r="P17" s="338"/>
      <c r="Q17" s="338"/>
      <c r="R17" s="338"/>
      <c r="S17" s="338"/>
      <c r="T17" s="339"/>
    </row>
    <row r="18" spans="1:20" ht="21.95" customHeight="1">
      <c r="A18" s="361"/>
      <c r="B18" s="338"/>
      <c r="C18" s="338"/>
      <c r="D18" s="338"/>
      <c r="E18" s="338"/>
      <c r="F18" s="338"/>
      <c r="G18" s="338"/>
      <c r="H18" s="338"/>
      <c r="I18" s="338"/>
      <c r="J18" s="339"/>
      <c r="K18" s="338"/>
      <c r="L18" s="338"/>
      <c r="M18" s="338"/>
      <c r="N18" s="338"/>
      <c r="O18" s="338"/>
      <c r="P18" s="338"/>
      <c r="Q18" s="338"/>
      <c r="R18" s="338"/>
      <c r="S18" s="338"/>
      <c r="T18" s="339"/>
    </row>
    <row r="19" spans="1:20" ht="21.95" customHeight="1">
      <c r="A19" s="361"/>
      <c r="B19" s="338"/>
      <c r="C19" s="338"/>
      <c r="D19" s="338"/>
      <c r="E19" s="338"/>
      <c r="F19" s="338"/>
      <c r="G19" s="338"/>
      <c r="H19" s="338"/>
      <c r="I19" s="338"/>
      <c r="J19" s="339"/>
      <c r="K19" s="338"/>
      <c r="L19" s="338"/>
      <c r="M19" s="338"/>
      <c r="N19" s="338"/>
      <c r="O19" s="338"/>
      <c r="P19" s="338"/>
      <c r="Q19" s="338"/>
      <c r="R19" s="338"/>
      <c r="S19" s="338"/>
      <c r="T19" s="339"/>
    </row>
    <row r="20" spans="1:20" ht="21.95" customHeight="1">
      <c r="A20" s="361"/>
      <c r="B20" s="338"/>
      <c r="C20" s="338"/>
      <c r="D20" s="338"/>
      <c r="E20" s="338"/>
      <c r="F20" s="338"/>
      <c r="G20" s="338"/>
      <c r="H20" s="338"/>
      <c r="I20" s="338"/>
      <c r="J20" s="339"/>
      <c r="K20" s="338"/>
      <c r="L20" s="338"/>
      <c r="M20" s="338"/>
      <c r="N20" s="338"/>
      <c r="O20" s="338"/>
      <c r="P20" s="338"/>
      <c r="Q20" s="338"/>
      <c r="R20" s="338"/>
      <c r="S20" s="338"/>
      <c r="T20" s="339"/>
    </row>
    <row r="21" spans="1:20" ht="21.95" customHeight="1">
      <c r="A21" s="361"/>
      <c r="B21" s="338"/>
      <c r="C21" s="338"/>
      <c r="D21" s="338"/>
      <c r="E21" s="338"/>
      <c r="F21" s="338"/>
      <c r="G21" s="338"/>
      <c r="H21" s="338"/>
      <c r="I21" s="338"/>
      <c r="J21" s="339"/>
      <c r="K21" s="338"/>
      <c r="L21" s="338"/>
      <c r="M21" s="338"/>
      <c r="N21" s="338"/>
      <c r="O21" s="338"/>
      <c r="P21" s="338"/>
      <c r="Q21" s="338"/>
      <c r="R21" s="338"/>
      <c r="S21" s="338"/>
      <c r="T21" s="339"/>
    </row>
    <row r="22" spans="1:20" ht="21.95" customHeight="1">
      <c r="A22" s="361"/>
      <c r="B22" s="338"/>
      <c r="C22" s="338"/>
      <c r="D22" s="338"/>
      <c r="E22" s="338"/>
      <c r="F22" s="338"/>
      <c r="G22" s="338"/>
      <c r="H22" s="338"/>
      <c r="I22" s="338"/>
      <c r="J22" s="339"/>
      <c r="K22" s="338"/>
      <c r="L22" s="338"/>
      <c r="M22" s="338"/>
      <c r="N22" s="338"/>
      <c r="O22" s="338"/>
      <c r="P22" s="338"/>
      <c r="Q22" s="338"/>
      <c r="R22" s="338"/>
      <c r="S22" s="338"/>
      <c r="T22" s="339"/>
    </row>
    <row r="23" spans="1:20" ht="21.95" customHeight="1">
      <c r="A23" s="361"/>
      <c r="B23" s="338"/>
      <c r="C23" s="338"/>
      <c r="D23" s="338"/>
      <c r="E23" s="338"/>
      <c r="F23" s="338"/>
      <c r="G23" s="338"/>
      <c r="H23" s="338"/>
      <c r="I23" s="338"/>
      <c r="J23" s="339"/>
      <c r="K23" s="338"/>
      <c r="L23" s="338"/>
      <c r="M23" s="338"/>
      <c r="N23" s="338"/>
      <c r="O23" s="338"/>
      <c r="P23" s="338"/>
      <c r="Q23" s="338"/>
      <c r="R23" s="338"/>
      <c r="S23" s="338"/>
      <c r="T23" s="339"/>
    </row>
    <row r="24" spans="1:20" ht="21.95" customHeight="1">
      <c r="A24" s="361"/>
      <c r="B24" s="338"/>
      <c r="C24" s="338"/>
      <c r="D24" s="338"/>
      <c r="E24" s="338"/>
      <c r="F24" s="338"/>
      <c r="G24" s="338"/>
      <c r="H24" s="338"/>
      <c r="I24" s="338"/>
      <c r="J24" s="339"/>
      <c r="K24" s="338"/>
      <c r="L24" s="338"/>
      <c r="M24" s="338"/>
      <c r="N24" s="338"/>
      <c r="O24" s="338"/>
      <c r="P24" s="338"/>
      <c r="Q24" s="338"/>
      <c r="R24" s="338"/>
      <c r="S24" s="338"/>
      <c r="T24" s="339"/>
    </row>
    <row r="25" spans="1:20" ht="21.95" customHeight="1">
      <c r="A25" s="361"/>
      <c r="B25" s="338"/>
      <c r="C25" s="338"/>
      <c r="D25" s="338"/>
      <c r="E25" s="338"/>
      <c r="F25" s="338"/>
      <c r="G25" s="338"/>
      <c r="H25" s="338"/>
      <c r="I25" s="338"/>
      <c r="J25" s="339"/>
      <c r="K25" s="338"/>
      <c r="L25" s="338"/>
      <c r="M25" s="338"/>
      <c r="N25" s="338"/>
      <c r="O25" s="338"/>
      <c r="P25" s="338"/>
      <c r="Q25" s="338"/>
      <c r="R25" s="338"/>
      <c r="S25" s="338"/>
      <c r="T25" s="339"/>
    </row>
    <row r="26" spans="1:20" ht="21.95" customHeight="1">
      <c r="A26" s="361"/>
      <c r="B26" s="338"/>
      <c r="C26" s="338"/>
      <c r="D26" s="338"/>
      <c r="E26" s="338"/>
      <c r="F26" s="338"/>
      <c r="G26" s="338"/>
      <c r="H26" s="338"/>
      <c r="I26" s="338"/>
      <c r="J26" s="339"/>
      <c r="K26" s="338"/>
      <c r="L26" s="338"/>
      <c r="M26" s="338"/>
      <c r="N26" s="338"/>
      <c r="O26" s="338"/>
      <c r="P26" s="338"/>
      <c r="Q26" s="338"/>
      <c r="R26" s="338"/>
      <c r="S26" s="338"/>
      <c r="T26" s="339"/>
    </row>
    <row r="27" spans="1:20" ht="21.95" customHeight="1">
      <c r="A27" s="361"/>
      <c r="B27" s="338"/>
      <c r="C27" s="338"/>
      <c r="D27" s="338"/>
      <c r="E27" s="338"/>
      <c r="F27" s="338"/>
      <c r="G27" s="338"/>
      <c r="H27" s="338"/>
      <c r="I27" s="338"/>
      <c r="J27" s="339"/>
      <c r="K27" s="338"/>
      <c r="L27" s="338"/>
      <c r="M27" s="338"/>
      <c r="N27" s="338"/>
      <c r="O27" s="338"/>
      <c r="P27" s="338"/>
      <c r="Q27" s="338"/>
      <c r="R27" s="338"/>
      <c r="S27" s="338"/>
      <c r="T27" s="339"/>
    </row>
    <row r="28" spans="1:20" ht="21.95" customHeight="1">
      <c r="A28" s="361"/>
      <c r="B28" s="338"/>
      <c r="C28" s="338"/>
      <c r="D28" s="338"/>
      <c r="E28" s="338"/>
      <c r="F28" s="338"/>
      <c r="G28" s="338"/>
      <c r="H28" s="338"/>
      <c r="I28" s="338"/>
      <c r="J28" s="339"/>
      <c r="K28" s="338"/>
      <c r="L28" s="338"/>
      <c r="M28" s="338"/>
      <c r="N28" s="338"/>
      <c r="O28" s="338"/>
      <c r="P28" s="338"/>
      <c r="Q28" s="338"/>
      <c r="R28" s="338"/>
      <c r="S28" s="338"/>
      <c r="T28" s="339"/>
    </row>
    <row r="29" spans="1:20" ht="21.95" customHeight="1">
      <c r="A29" s="361"/>
      <c r="B29" s="338"/>
      <c r="C29" s="338"/>
      <c r="D29" s="338"/>
      <c r="E29" s="338"/>
      <c r="F29" s="338"/>
      <c r="G29" s="338"/>
      <c r="H29" s="338"/>
      <c r="I29" s="338"/>
      <c r="J29" s="339"/>
      <c r="K29" s="338"/>
      <c r="L29" s="338"/>
      <c r="M29" s="338"/>
      <c r="N29" s="338"/>
      <c r="O29" s="338"/>
      <c r="P29" s="338"/>
      <c r="Q29" s="338"/>
      <c r="R29" s="338"/>
      <c r="S29" s="338"/>
      <c r="T29" s="339"/>
    </row>
    <row r="30" spans="1:20" ht="21.95" customHeight="1">
      <c r="A30" s="361"/>
      <c r="B30" s="338"/>
      <c r="C30" s="338"/>
      <c r="D30" s="338"/>
      <c r="E30" s="338"/>
      <c r="F30" s="338"/>
      <c r="G30" s="338"/>
      <c r="H30" s="338"/>
      <c r="I30" s="338"/>
      <c r="J30" s="339"/>
      <c r="K30" s="338"/>
      <c r="L30" s="338"/>
      <c r="M30" s="338"/>
      <c r="N30" s="338"/>
      <c r="O30" s="338"/>
      <c r="P30" s="338"/>
      <c r="Q30" s="338"/>
      <c r="R30" s="338"/>
      <c r="S30" s="338"/>
      <c r="T30" s="339"/>
    </row>
    <row r="31" spans="1:20" ht="21.95" customHeight="1">
      <c r="A31" s="361"/>
      <c r="B31" s="338"/>
      <c r="C31" s="338"/>
      <c r="D31" s="338"/>
      <c r="E31" s="338"/>
      <c r="F31" s="338"/>
      <c r="G31" s="338"/>
      <c r="H31" s="338"/>
      <c r="I31" s="338"/>
      <c r="J31" s="339"/>
      <c r="K31" s="338"/>
      <c r="L31" s="338"/>
      <c r="M31" s="338"/>
      <c r="N31" s="338"/>
      <c r="O31" s="338"/>
      <c r="P31" s="338"/>
      <c r="Q31" s="338"/>
      <c r="R31" s="338"/>
      <c r="S31" s="338"/>
      <c r="T31" s="339"/>
    </row>
    <row r="32" spans="1:20" ht="21.95" customHeight="1">
      <c r="A32" s="361"/>
      <c r="B32" s="338"/>
      <c r="C32" s="338"/>
      <c r="D32" s="338"/>
      <c r="E32" s="338"/>
      <c r="F32" s="338"/>
      <c r="G32" s="338"/>
      <c r="H32" s="338"/>
      <c r="I32" s="338"/>
      <c r="J32" s="339"/>
      <c r="K32" s="338"/>
      <c r="L32" s="338"/>
      <c r="M32" s="338"/>
      <c r="N32" s="338"/>
      <c r="O32" s="338"/>
      <c r="P32" s="338"/>
      <c r="Q32" s="338"/>
      <c r="R32" s="338"/>
      <c r="S32" s="338"/>
      <c r="T32" s="339"/>
    </row>
    <row r="33" spans="1:20" ht="21.95" customHeight="1">
      <c r="A33" s="361"/>
      <c r="B33" s="338"/>
      <c r="C33" s="338"/>
      <c r="D33" s="338"/>
      <c r="E33" s="338"/>
      <c r="F33" s="338"/>
      <c r="G33" s="338"/>
      <c r="H33" s="338"/>
      <c r="I33" s="338"/>
      <c r="J33" s="339"/>
      <c r="K33" s="338"/>
      <c r="L33" s="338"/>
      <c r="M33" s="338"/>
      <c r="N33" s="338"/>
      <c r="O33" s="338"/>
      <c r="P33" s="338"/>
      <c r="Q33" s="338"/>
      <c r="R33" s="338"/>
      <c r="S33" s="338"/>
      <c r="T33" s="339"/>
    </row>
    <row r="34" spans="1:20" ht="21.95" customHeight="1">
      <c r="A34" s="361"/>
      <c r="B34" s="338"/>
      <c r="C34" s="338"/>
      <c r="D34" s="338"/>
      <c r="E34" s="338"/>
      <c r="F34" s="338"/>
      <c r="G34" s="338"/>
      <c r="H34" s="338"/>
      <c r="I34" s="338"/>
      <c r="J34" s="339"/>
      <c r="K34" s="338"/>
      <c r="L34" s="338"/>
      <c r="M34" s="338"/>
      <c r="N34" s="338"/>
      <c r="O34" s="338"/>
      <c r="P34" s="338"/>
      <c r="Q34" s="338"/>
      <c r="R34" s="338"/>
      <c r="S34" s="338"/>
      <c r="T34" s="339"/>
    </row>
    <row r="35" spans="1:20" ht="21.95" customHeight="1">
      <c r="A35" s="360"/>
      <c r="B35" s="359"/>
      <c r="C35" s="359"/>
      <c r="D35" s="359"/>
      <c r="E35" s="359"/>
      <c r="F35" s="359"/>
      <c r="G35" s="359"/>
      <c r="H35" s="359"/>
      <c r="I35" s="359"/>
      <c r="J35" s="358"/>
      <c r="K35" s="359"/>
      <c r="L35" s="359"/>
      <c r="M35" s="359"/>
      <c r="N35" s="359"/>
      <c r="O35" s="359"/>
      <c r="P35" s="359"/>
      <c r="Q35" s="359"/>
      <c r="R35" s="359"/>
      <c r="S35" s="359"/>
      <c r="T35" s="358"/>
    </row>
    <row r="36" spans="1:20" ht="21.95" customHeight="1"/>
    <row r="37" spans="1:20" ht="24.95" customHeight="1"/>
    <row r="38" spans="1:20" ht="24.95" customHeight="1"/>
    <row r="39" spans="1:20" ht="24.95" customHeight="1"/>
  </sheetData>
  <phoneticPr fontId="7"/>
  <printOptions horizontalCentered="1"/>
  <pageMargins left="0.70866141732283472" right="0.70866141732283472" top="0.74803149606299213" bottom="0.39370078740157483" header="0.31496062992125984" footer="0.31496062992125984"/>
  <pageSetup paperSize="9" orientation="portrait" blackAndWhite="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D819-1FD0-4C7E-9421-75F80A3AA847}">
  <dimension ref="A1:AX147"/>
  <sheetViews>
    <sheetView view="pageBreakPreview" zoomScaleNormal="100" zoomScaleSheetLayoutView="100" workbookViewId="0"/>
  </sheetViews>
  <sheetFormatPr defaultRowHeight="13.5"/>
  <cols>
    <col min="1" max="6" width="2.875" style="5" customWidth="1"/>
    <col min="7" max="7" width="2.75" style="5" customWidth="1"/>
    <col min="8" max="8" width="3.75" style="5" customWidth="1"/>
    <col min="9" max="9" width="4.25" style="5" customWidth="1"/>
    <col min="10" max="10" width="3.5" style="5" customWidth="1"/>
    <col min="11" max="11" width="4.25" style="5" customWidth="1"/>
    <col min="12" max="30" width="3.75" style="5" customWidth="1"/>
    <col min="31" max="58" width="2.875" style="5" customWidth="1"/>
    <col min="59" max="59" width="9" style="5" customWidth="1"/>
    <col min="60" max="16384" width="9" style="5"/>
  </cols>
  <sheetData>
    <row r="1" spans="1:50" ht="18" customHeight="1">
      <c r="A1" s="478" t="s">
        <v>3007</v>
      </c>
      <c r="B1" s="478"/>
      <c r="C1" s="384"/>
      <c r="D1" s="384"/>
      <c r="E1" s="384"/>
      <c r="F1" s="384"/>
      <c r="G1" s="384"/>
      <c r="H1" s="384"/>
      <c r="I1" s="384"/>
      <c r="J1" s="384"/>
      <c r="K1" s="375"/>
      <c r="L1" s="375"/>
      <c r="M1" s="375"/>
      <c r="N1" s="375"/>
      <c r="O1" s="375"/>
      <c r="P1" s="375"/>
      <c r="Q1" s="375"/>
      <c r="R1" s="375"/>
      <c r="S1" s="375"/>
      <c r="T1" s="375"/>
      <c r="U1" s="375"/>
      <c r="V1" s="375"/>
      <c r="W1" s="375"/>
      <c r="X1" s="375"/>
      <c r="Y1" s="375"/>
      <c r="Z1" s="375"/>
      <c r="AA1" s="375"/>
      <c r="AB1" s="375"/>
      <c r="AC1" s="375"/>
      <c r="AD1" s="477" t="s">
        <v>3008</v>
      </c>
    </row>
    <row r="2" spans="1:50" ht="9.9499999999999993" customHeight="1">
      <c r="A2" s="476"/>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4"/>
    </row>
    <row r="3" spans="1:50" s="464" customFormat="1" ht="17.25">
      <c r="A3" s="468"/>
      <c r="B3" s="467"/>
      <c r="C3" s="467"/>
      <c r="D3" s="467"/>
      <c r="E3" s="467"/>
      <c r="F3" s="467"/>
      <c r="G3" s="467"/>
      <c r="H3" s="467"/>
      <c r="I3" s="467"/>
      <c r="J3" s="467"/>
      <c r="K3" s="467"/>
      <c r="L3" s="467"/>
      <c r="M3" s="467"/>
      <c r="Q3" s="467"/>
      <c r="R3" s="467"/>
      <c r="S3" s="467"/>
      <c r="T3" s="467"/>
      <c r="U3" s="467"/>
      <c r="V3" s="467"/>
      <c r="W3" s="467"/>
      <c r="X3" s="467"/>
      <c r="Y3" s="467"/>
      <c r="Z3" s="467"/>
      <c r="AA3" s="467"/>
      <c r="AB3" s="467"/>
      <c r="AC3" s="467"/>
      <c r="AD3" s="466"/>
    </row>
    <row r="4" spans="1:50" s="464" customFormat="1" ht="17.25">
      <c r="A4" s="473" t="s">
        <v>3009</v>
      </c>
      <c r="B4" s="472"/>
      <c r="C4" s="472"/>
      <c r="D4" s="472"/>
      <c r="E4" s="472"/>
      <c r="F4" s="472"/>
      <c r="I4" s="472" t="s">
        <v>2828</v>
      </c>
      <c r="J4" s="472"/>
      <c r="K4" s="472"/>
      <c r="L4" s="472"/>
      <c r="M4" s="472"/>
      <c r="N4" s="678" t="s">
        <v>2753</v>
      </c>
      <c r="O4" s="467" t="s">
        <v>3010</v>
      </c>
      <c r="P4" s="467"/>
      <c r="Q4" s="472"/>
      <c r="R4" s="678" t="s">
        <v>2745</v>
      </c>
      <c r="S4" s="467" t="s">
        <v>3011</v>
      </c>
      <c r="T4" s="467"/>
      <c r="U4" s="472"/>
      <c r="V4" s="472" t="s">
        <v>3012</v>
      </c>
      <c r="W4" s="472"/>
      <c r="X4" s="472"/>
      <c r="Y4" s="472"/>
      <c r="Z4" s="472"/>
      <c r="AA4" s="472"/>
      <c r="AB4" s="472"/>
      <c r="AC4" s="472"/>
      <c r="AD4" s="471"/>
      <c r="AH4" s="470" t="s">
        <v>3013</v>
      </c>
      <c r="AI4" s="469"/>
      <c r="AJ4" s="469"/>
      <c r="AK4" s="469"/>
      <c r="AL4" s="469"/>
      <c r="AM4" s="679" t="s">
        <v>3014</v>
      </c>
      <c r="AN4" s="446"/>
      <c r="AO4" s="446"/>
      <c r="AP4" s="446"/>
      <c r="AQ4" s="446"/>
      <c r="AR4" s="446"/>
      <c r="AS4" s="446"/>
      <c r="AT4" s="446"/>
      <c r="AU4" s="446"/>
      <c r="AV4" s="446"/>
      <c r="AW4" s="446"/>
      <c r="AX4" s="465"/>
    </row>
    <row r="5" spans="1:50" s="464" customFormat="1" ht="17.25" customHeight="1">
      <c r="A5" s="468"/>
      <c r="B5" s="467"/>
      <c r="C5" s="467"/>
      <c r="D5" s="467"/>
      <c r="E5" s="467"/>
      <c r="F5" s="467"/>
      <c r="G5" s="467"/>
      <c r="H5" s="467"/>
      <c r="I5" s="467"/>
      <c r="J5" s="467"/>
      <c r="K5" s="467"/>
      <c r="L5" s="467"/>
      <c r="M5" s="467"/>
      <c r="Q5" s="467"/>
      <c r="R5" s="467"/>
      <c r="S5" s="467"/>
      <c r="T5" s="467"/>
      <c r="U5" s="467"/>
      <c r="V5" s="467"/>
      <c r="W5" s="467"/>
      <c r="X5" s="467"/>
      <c r="Y5" s="467"/>
      <c r="Z5" s="467"/>
      <c r="AA5" s="467"/>
      <c r="AB5" s="467"/>
      <c r="AC5" s="467"/>
      <c r="AD5" s="466"/>
      <c r="AH5" s="410" t="s">
        <v>3015</v>
      </c>
      <c r="AI5" s="410"/>
      <c r="AJ5" s="410"/>
      <c r="AK5" s="410"/>
      <c r="AL5" s="410"/>
      <c r="AM5" s="679" t="s">
        <v>3016</v>
      </c>
      <c r="AN5" s="446"/>
      <c r="AO5" s="446"/>
      <c r="AP5" s="446"/>
      <c r="AQ5" s="446"/>
      <c r="AR5" s="446"/>
      <c r="AS5" s="446"/>
      <c r="AT5" s="446"/>
      <c r="AU5" s="446"/>
      <c r="AV5" s="446"/>
      <c r="AW5" s="446"/>
      <c r="AX5" s="465"/>
    </row>
    <row r="6" spans="1:50" ht="9.9499999999999993" customHeight="1">
      <c r="A6" s="391"/>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90"/>
      <c r="AH6" s="410" t="s">
        <v>3017</v>
      </c>
      <c r="AI6" s="410"/>
      <c r="AJ6" s="436"/>
      <c r="AK6" s="436"/>
      <c r="AL6" s="436"/>
      <c r="AM6" s="679" t="s">
        <v>3018</v>
      </c>
      <c r="AN6" s="446"/>
      <c r="AO6" s="446"/>
      <c r="AP6" s="446"/>
      <c r="AQ6" s="446"/>
      <c r="AR6" s="446"/>
      <c r="AS6" s="446"/>
      <c r="AT6" s="446"/>
      <c r="AU6" s="446"/>
      <c r="AV6" s="446"/>
      <c r="AW6" s="446"/>
      <c r="AX6" s="445"/>
    </row>
    <row r="7" spans="1:50">
      <c r="A7" s="463"/>
      <c r="B7" s="461"/>
      <c r="C7" s="461"/>
      <c r="D7" s="461"/>
      <c r="E7" s="461"/>
      <c r="F7" s="461"/>
      <c r="G7" s="461"/>
      <c r="H7" s="461"/>
      <c r="I7" s="461"/>
      <c r="J7" s="461"/>
      <c r="K7" s="461"/>
      <c r="L7" s="461"/>
      <c r="M7" s="461"/>
      <c r="N7" s="461"/>
      <c r="O7" s="461"/>
      <c r="P7" s="461"/>
      <c r="Q7" s="461"/>
      <c r="R7" s="461"/>
      <c r="S7" s="462"/>
      <c r="T7" s="461"/>
      <c r="U7" s="461"/>
      <c r="V7" s="795" t="str">
        <f ca="1">TEXT(TODAY(),"ggg")</f>
        <v>令和</v>
      </c>
      <c r="W7" s="795"/>
      <c r="X7" s="479"/>
      <c r="Y7" s="460" t="s">
        <v>2822</v>
      </c>
      <c r="Z7" s="479"/>
      <c r="AA7" s="460" t="s">
        <v>2823</v>
      </c>
      <c r="AB7" s="479"/>
      <c r="AC7" s="460" t="s">
        <v>2824</v>
      </c>
      <c r="AD7" s="459"/>
      <c r="AH7" s="410" t="s">
        <v>3019</v>
      </c>
      <c r="AI7" s="410"/>
      <c r="AJ7" s="410"/>
      <c r="AK7" s="410"/>
      <c r="AL7" s="410"/>
      <c r="AM7" s="680" t="s">
        <v>3020</v>
      </c>
      <c r="AN7" s="447"/>
      <c r="AO7" s="446"/>
      <c r="AP7" s="446"/>
      <c r="AQ7" s="446"/>
      <c r="AR7" s="447"/>
      <c r="AS7" s="447"/>
      <c r="AT7" s="447"/>
      <c r="AU7" s="447"/>
      <c r="AV7" s="447"/>
      <c r="AW7" s="447"/>
      <c r="AX7" s="445"/>
    </row>
    <row r="8" spans="1:50" ht="9.9499999999999993" customHeight="1">
      <c r="A8" s="391"/>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90"/>
      <c r="AH8" s="410" t="s">
        <v>3021</v>
      </c>
      <c r="AI8" s="410"/>
      <c r="AJ8" s="410"/>
      <c r="AK8" s="410"/>
      <c r="AL8" s="410"/>
      <c r="AM8" s="679" t="s">
        <v>3022</v>
      </c>
      <c r="AN8" s="446"/>
      <c r="AO8" s="447"/>
      <c r="AP8" s="447"/>
      <c r="AQ8" s="447"/>
      <c r="AR8" s="446"/>
      <c r="AS8" s="446"/>
      <c r="AT8" s="446"/>
      <c r="AU8" s="446"/>
      <c r="AV8" s="446"/>
      <c r="AW8" s="446"/>
      <c r="AX8" s="445"/>
    </row>
    <row r="9" spans="1:50" ht="17.25">
      <c r="A9" s="801" t="s">
        <v>3023</v>
      </c>
      <c r="B9" s="802"/>
      <c r="C9" s="802"/>
      <c r="D9" s="802"/>
      <c r="E9" s="803"/>
      <c r="F9" s="803"/>
      <c r="G9" s="803"/>
      <c r="H9" s="803"/>
      <c r="I9" s="803"/>
      <c r="J9" s="803"/>
      <c r="K9" s="803"/>
      <c r="L9" s="803"/>
      <c r="M9" s="375"/>
      <c r="N9" s="375"/>
      <c r="O9" s="375"/>
      <c r="P9" s="375"/>
      <c r="Q9" s="375"/>
      <c r="R9" s="375"/>
      <c r="S9" s="375"/>
      <c r="T9" s="375"/>
      <c r="U9" s="375"/>
      <c r="V9" s="375"/>
      <c r="W9" s="375"/>
      <c r="X9" s="375"/>
      <c r="Y9" s="375"/>
      <c r="Z9" s="375"/>
      <c r="AA9" s="375"/>
      <c r="AB9" s="375"/>
      <c r="AC9" s="375"/>
      <c r="AD9" s="390"/>
      <c r="AH9" s="410" t="s">
        <v>3024</v>
      </c>
      <c r="AI9" s="410"/>
      <c r="AJ9" s="410"/>
      <c r="AK9" s="410"/>
      <c r="AL9" s="410"/>
      <c r="AM9" s="679" t="s">
        <v>3025</v>
      </c>
      <c r="AN9" s="446"/>
      <c r="AO9" s="446"/>
      <c r="AP9" s="446"/>
      <c r="AQ9" s="446"/>
      <c r="AR9" s="446"/>
      <c r="AS9" s="446"/>
      <c r="AT9" s="446"/>
      <c r="AU9" s="446"/>
      <c r="AV9" s="446"/>
      <c r="AW9" s="446"/>
      <c r="AX9" s="445"/>
    </row>
    <row r="10" spans="1:50">
      <c r="A10" s="458"/>
      <c r="B10" s="457"/>
      <c r="C10" s="457"/>
      <c r="D10" s="457"/>
      <c r="M10" s="375"/>
      <c r="N10" s="375"/>
      <c r="O10" s="375"/>
      <c r="P10" s="375"/>
      <c r="Q10" s="375"/>
      <c r="R10" s="375"/>
      <c r="S10" s="375"/>
      <c r="T10" s="375"/>
      <c r="U10" s="375"/>
      <c r="V10" s="375"/>
      <c r="W10" s="375"/>
      <c r="X10" s="375"/>
      <c r="Y10" s="375"/>
      <c r="Z10" s="375"/>
      <c r="AA10" s="375"/>
      <c r="AB10" s="375"/>
      <c r="AC10" s="375"/>
      <c r="AD10" s="390"/>
      <c r="AH10" s="410" t="s">
        <v>3026</v>
      </c>
      <c r="AI10" s="410"/>
      <c r="AJ10" s="410"/>
      <c r="AK10" s="410"/>
      <c r="AL10" s="410"/>
      <c r="AM10" s="679" t="s">
        <v>3027</v>
      </c>
      <c r="AN10" s="446"/>
      <c r="AO10" s="446"/>
      <c r="AP10" s="446"/>
      <c r="AQ10" s="446"/>
      <c r="AR10" s="446"/>
      <c r="AS10" s="446"/>
      <c r="AT10" s="446"/>
      <c r="AU10" s="446"/>
      <c r="AV10" s="446"/>
      <c r="AW10" s="446"/>
      <c r="AX10" s="445"/>
    </row>
    <row r="11" spans="1:50">
      <c r="A11" s="428"/>
      <c r="B11" s="389"/>
      <c r="C11" s="389"/>
      <c r="D11" s="389"/>
      <c r="E11" s="389"/>
      <c r="F11" s="389"/>
      <c r="H11" s="398"/>
      <c r="I11" s="398"/>
      <c r="J11" s="398"/>
      <c r="K11" s="398"/>
      <c r="L11" s="799" t="s">
        <v>3028</v>
      </c>
      <c r="M11" s="799"/>
      <c r="N11" s="799"/>
      <c r="O11" s="398"/>
      <c r="P11" s="398"/>
      <c r="Q11" s="398"/>
      <c r="R11" s="398"/>
      <c r="S11" s="398"/>
      <c r="T11" s="398"/>
      <c r="U11" s="398"/>
      <c r="V11" s="398"/>
      <c r="W11" s="398"/>
      <c r="X11" s="398"/>
      <c r="Y11" s="398"/>
      <c r="Z11" s="398"/>
      <c r="AA11" s="398"/>
      <c r="AB11" s="398"/>
      <c r="AC11" s="398"/>
      <c r="AD11" s="390"/>
      <c r="AH11" s="410" t="s">
        <v>3029</v>
      </c>
      <c r="AI11" s="410"/>
      <c r="AJ11" s="410"/>
      <c r="AK11" s="410"/>
      <c r="AL11" s="410"/>
      <c r="AM11" s="679" t="s">
        <v>3030</v>
      </c>
      <c r="AN11" s="446"/>
      <c r="AO11" s="446"/>
      <c r="AP11" s="446"/>
      <c r="AQ11" s="446"/>
      <c r="AR11" s="446"/>
      <c r="AS11" s="446"/>
      <c r="AT11" s="446"/>
      <c r="AU11" s="446"/>
      <c r="AV11" s="446"/>
      <c r="AW11" s="446"/>
      <c r="AX11" s="445"/>
    </row>
    <row r="12" spans="1:50">
      <c r="A12" s="428"/>
      <c r="B12" s="389"/>
      <c r="C12" s="389"/>
      <c r="F12" s="398"/>
      <c r="G12" s="398"/>
      <c r="H12" s="398"/>
      <c r="I12" s="398"/>
      <c r="J12" s="398"/>
      <c r="K12" s="398"/>
      <c r="L12" s="398"/>
      <c r="M12" s="430" t="s">
        <v>3031</v>
      </c>
      <c r="N12" s="454" t="s">
        <v>3032</v>
      </c>
      <c r="O12" s="398"/>
      <c r="Q12" s="398"/>
      <c r="R12" s="398"/>
      <c r="S12" s="398"/>
      <c r="T12" s="398"/>
      <c r="U12" s="398"/>
      <c r="V12" s="398"/>
      <c r="W12" s="398"/>
      <c r="X12" s="398"/>
      <c r="Y12" s="398"/>
      <c r="Z12" s="398"/>
      <c r="AA12" s="398"/>
      <c r="AB12" s="398"/>
      <c r="AC12" s="398"/>
      <c r="AD12" s="456"/>
      <c r="AH12" s="410" t="s">
        <v>3033</v>
      </c>
      <c r="AI12" s="410"/>
      <c r="AJ12" s="410"/>
      <c r="AK12" s="410"/>
      <c r="AL12" s="410"/>
      <c r="AM12" s="679" t="s">
        <v>3034</v>
      </c>
      <c r="AN12" s="446"/>
      <c r="AO12" s="446"/>
      <c r="AP12" s="446"/>
      <c r="AQ12" s="446"/>
      <c r="AR12" s="446"/>
      <c r="AS12" s="446"/>
      <c r="AT12" s="446"/>
      <c r="AU12" s="446"/>
      <c r="AV12" s="446"/>
      <c r="AW12" s="446"/>
      <c r="AX12" s="445"/>
    </row>
    <row r="13" spans="1:50">
      <c r="A13" s="428"/>
      <c r="B13" s="389"/>
      <c r="C13" s="389"/>
      <c r="E13" s="389"/>
      <c r="F13" s="389"/>
      <c r="G13" s="389"/>
      <c r="H13" s="389"/>
      <c r="I13" s="389"/>
      <c r="J13" s="389"/>
      <c r="K13" s="389"/>
      <c r="L13" s="389"/>
      <c r="M13" s="389"/>
      <c r="N13" s="389" t="s">
        <v>3035</v>
      </c>
      <c r="O13" s="800" t="str">
        <f>cst_wskakunin_owner1_ZIP</f>
        <v>567-0009</v>
      </c>
      <c r="P13" s="800"/>
      <c r="Q13" s="800"/>
      <c r="R13" s="800"/>
      <c r="S13" s="389"/>
      <c r="T13" s="389"/>
      <c r="U13" s="389"/>
      <c r="V13" s="389"/>
      <c r="W13" s="389"/>
      <c r="X13" s="389"/>
      <c r="Y13" s="389"/>
      <c r="Z13" s="389"/>
      <c r="AA13" s="389"/>
      <c r="AB13" s="389"/>
      <c r="AC13" s="389"/>
      <c r="AD13" s="390"/>
      <c r="AH13" s="410" t="s">
        <v>3036</v>
      </c>
      <c r="AI13" s="410"/>
      <c r="AJ13" s="410"/>
      <c r="AK13" s="410"/>
      <c r="AL13" s="410"/>
      <c r="AM13" s="679" t="s">
        <v>3037</v>
      </c>
      <c r="AN13" s="446"/>
      <c r="AO13" s="446"/>
      <c r="AP13" s="446"/>
      <c r="AQ13" s="446"/>
      <c r="AR13" s="446"/>
      <c r="AS13" s="446"/>
      <c r="AT13" s="446"/>
      <c r="AU13" s="446"/>
      <c r="AV13" s="446"/>
      <c r="AW13" s="446"/>
      <c r="AX13" s="445"/>
    </row>
    <row r="14" spans="1:50">
      <c r="A14" s="428"/>
      <c r="B14" s="389"/>
      <c r="C14" s="389"/>
      <c r="G14" s="389"/>
      <c r="H14" s="389"/>
      <c r="I14" s="389"/>
      <c r="J14" s="389"/>
      <c r="N14" s="398"/>
      <c r="O14" s="800" t="str">
        <f>cst_wskakunin_owner1__address</f>
        <v>大阪府茨木市山手台2-2-2</v>
      </c>
      <c r="P14" s="800"/>
      <c r="Q14" s="800"/>
      <c r="R14" s="800"/>
      <c r="S14" s="800"/>
      <c r="T14" s="800"/>
      <c r="U14" s="800"/>
      <c r="V14" s="800"/>
      <c r="W14" s="800"/>
      <c r="X14" s="800"/>
      <c r="Y14" s="800"/>
      <c r="Z14" s="800"/>
      <c r="AA14" s="800"/>
      <c r="AB14" s="800"/>
      <c r="AC14" s="800"/>
      <c r="AD14" s="390"/>
      <c r="AH14" s="455" t="s">
        <v>3038</v>
      </c>
      <c r="AI14" s="410"/>
      <c r="AJ14" s="410"/>
      <c r="AK14" s="410"/>
      <c r="AL14" s="410"/>
      <c r="AM14" s="679" t="s">
        <v>3039</v>
      </c>
      <c r="AN14" s="446"/>
      <c r="AO14" s="446"/>
      <c r="AP14" s="446"/>
      <c r="AQ14" s="446"/>
      <c r="AR14" s="446"/>
      <c r="AS14" s="446"/>
      <c r="AT14" s="446"/>
      <c r="AU14" s="446"/>
      <c r="AV14" s="446"/>
      <c r="AW14" s="446"/>
      <c r="AX14" s="445"/>
    </row>
    <row r="15" spans="1:50">
      <c r="A15" s="428"/>
      <c r="B15" s="389"/>
      <c r="C15" s="389"/>
      <c r="G15" s="398"/>
      <c r="H15" s="398"/>
      <c r="I15" s="398"/>
      <c r="J15" s="398"/>
      <c r="K15" s="398"/>
      <c r="L15" s="398"/>
      <c r="M15" s="430" t="s">
        <v>194</v>
      </c>
      <c r="N15" s="454" t="s">
        <v>3040</v>
      </c>
      <c r="O15" s="430"/>
      <c r="Q15" s="398"/>
      <c r="R15" s="398"/>
      <c r="S15" s="398"/>
      <c r="T15" s="398"/>
      <c r="U15" s="398"/>
      <c r="V15" s="398"/>
      <c r="W15" s="398"/>
      <c r="X15" s="398"/>
      <c r="Y15" s="398"/>
      <c r="Z15" s="398"/>
      <c r="AA15" s="398"/>
      <c r="AB15" s="398"/>
      <c r="AD15" s="390"/>
      <c r="AH15" s="436" t="s">
        <v>3041</v>
      </c>
      <c r="AI15" s="410"/>
      <c r="AJ15" s="410"/>
      <c r="AK15" s="410"/>
      <c r="AL15" s="410"/>
      <c r="AM15" s="679" t="s">
        <v>3042</v>
      </c>
      <c r="AN15" s="447"/>
      <c r="AO15" s="446"/>
      <c r="AP15" s="446"/>
      <c r="AQ15" s="446"/>
      <c r="AR15" s="447"/>
      <c r="AS15" s="447"/>
      <c r="AT15" s="447"/>
      <c r="AU15" s="447"/>
      <c r="AV15" s="447"/>
      <c r="AW15" s="447"/>
      <c r="AX15" s="445"/>
    </row>
    <row r="16" spans="1:50">
      <c r="A16" s="428"/>
      <c r="B16" s="389"/>
      <c r="C16" s="389"/>
      <c r="E16" s="389"/>
      <c r="F16" s="389"/>
      <c r="G16" s="389"/>
      <c r="H16" s="389"/>
      <c r="I16" s="389"/>
      <c r="J16" s="389"/>
      <c r="K16" s="389"/>
      <c r="L16" s="389"/>
      <c r="M16" s="389"/>
      <c r="N16" s="809" t="str">
        <f>cst_wskakunin_owner1_NAME</f>
        <v>猫山　花子</v>
      </c>
      <c r="O16" s="809"/>
      <c r="P16" s="809"/>
      <c r="Q16" s="809"/>
      <c r="R16" s="809"/>
      <c r="S16" s="809"/>
      <c r="T16" s="809"/>
      <c r="U16" s="809"/>
      <c r="V16" s="809"/>
      <c r="W16" s="809"/>
      <c r="X16" s="809"/>
      <c r="Y16" s="809"/>
      <c r="Z16" s="809"/>
      <c r="AA16" s="809"/>
      <c r="AB16" s="809"/>
      <c r="AC16" s="389"/>
      <c r="AD16" s="390"/>
      <c r="AH16" s="436" t="s">
        <v>3043</v>
      </c>
      <c r="AI16" s="410"/>
      <c r="AJ16" s="410"/>
      <c r="AK16" s="410"/>
      <c r="AL16" s="410"/>
      <c r="AM16" s="679" t="s">
        <v>3044</v>
      </c>
      <c r="AN16" s="446"/>
      <c r="AO16" s="447"/>
      <c r="AP16" s="447"/>
      <c r="AQ16" s="447"/>
      <c r="AR16" s="447"/>
      <c r="AS16" s="447"/>
      <c r="AT16" s="447"/>
      <c r="AU16" s="447"/>
      <c r="AV16" s="447"/>
      <c r="AW16" s="447"/>
      <c r="AX16" s="445"/>
    </row>
    <row r="17" spans="1:50">
      <c r="A17" s="428"/>
      <c r="B17" s="389"/>
      <c r="C17" s="389"/>
      <c r="D17" s="389"/>
      <c r="E17" s="389"/>
      <c r="F17" s="389"/>
      <c r="G17" s="389"/>
      <c r="H17" s="389"/>
      <c r="I17" s="389"/>
      <c r="J17" s="389"/>
      <c r="K17" s="389"/>
      <c r="L17" s="389"/>
      <c r="M17" s="389" t="s">
        <v>3045</v>
      </c>
      <c r="N17" s="809" t="str">
        <f>cst_wskakunin_owner1_TEL</f>
        <v>なし</v>
      </c>
      <c r="O17" s="809"/>
      <c r="P17" s="809"/>
      <c r="Q17" s="809"/>
      <c r="R17" s="809"/>
      <c r="S17" s="809"/>
      <c r="T17" s="809"/>
      <c r="U17" s="809"/>
      <c r="V17" s="398"/>
      <c r="W17" s="398"/>
      <c r="X17" s="398"/>
      <c r="Y17" s="398"/>
      <c r="Z17" s="398"/>
      <c r="AA17" s="398"/>
      <c r="AB17" s="398"/>
      <c r="AC17" s="398"/>
      <c r="AD17" s="390"/>
      <c r="AH17" s="410" t="s">
        <v>3046</v>
      </c>
      <c r="AI17" s="410"/>
      <c r="AJ17" s="410"/>
      <c r="AK17" s="410"/>
      <c r="AL17" s="410"/>
      <c r="AM17" s="679" t="s">
        <v>3047</v>
      </c>
      <c r="AN17" s="446"/>
      <c r="AO17" s="447"/>
      <c r="AP17" s="447"/>
      <c r="AQ17" s="447"/>
      <c r="AR17" s="446"/>
      <c r="AS17" s="446"/>
      <c r="AT17" s="446"/>
      <c r="AU17" s="446"/>
      <c r="AV17" s="446"/>
      <c r="AW17" s="446"/>
      <c r="AX17" s="445"/>
    </row>
    <row r="18" spans="1:50">
      <c r="A18" s="428"/>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398"/>
      <c r="AC18" s="398"/>
      <c r="AD18" s="390"/>
      <c r="AH18" s="410" t="s">
        <v>3048</v>
      </c>
      <c r="AI18" s="410"/>
      <c r="AJ18" s="410"/>
      <c r="AK18" s="410"/>
      <c r="AL18" s="410"/>
      <c r="AM18" s="679" t="s">
        <v>3049</v>
      </c>
      <c r="AN18" s="446"/>
      <c r="AO18" s="446"/>
      <c r="AP18" s="446"/>
      <c r="AQ18" s="446"/>
      <c r="AR18" s="446"/>
      <c r="AS18" s="446"/>
      <c r="AT18" s="446"/>
      <c r="AU18" s="446"/>
      <c r="AV18" s="446"/>
      <c r="AW18" s="446"/>
      <c r="AX18" s="445"/>
    </row>
    <row r="19" spans="1:50">
      <c r="A19" s="428"/>
      <c r="B19" s="414"/>
      <c r="C19" s="414"/>
      <c r="D19" s="805" t="s">
        <v>3014</v>
      </c>
      <c r="E19" s="806"/>
      <c r="F19" s="806"/>
      <c r="G19" s="806"/>
      <c r="H19" s="806"/>
      <c r="I19" s="806"/>
      <c r="J19" s="806"/>
      <c r="K19" s="806"/>
      <c r="L19" s="806"/>
      <c r="M19" s="806"/>
      <c r="N19" s="806"/>
      <c r="O19" s="806"/>
      <c r="P19" s="453"/>
      <c r="Q19" s="452" t="s">
        <v>3050</v>
      </c>
      <c r="R19" s="414"/>
      <c r="S19" s="414"/>
      <c r="T19" s="448"/>
      <c r="U19" s="448"/>
      <c r="V19" s="414"/>
      <c r="W19" s="414"/>
      <c r="X19" s="414"/>
      <c r="Y19" s="414"/>
      <c r="Z19" s="414"/>
      <c r="AA19" s="414"/>
      <c r="AB19" s="414"/>
      <c r="AC19" s="414"/>
      <c r="AD19" s="390"/>
      <c r="AH19" s="410" t="s">
        <v>3051</v>
      </c>
      <c r="AM19" s="679" t="s">
        <v>3052</v>
      </c>
      <c r="AN19" s="445"/>
      <c r="AO19" s="445"/>
      <c r="AP19" s="445"/>
      <c r="AQ19" s="445"/>
      <c r="AR19" s="445"/>
      <c r="AS19" s="445"/>
      <c r="AT19" s="445"/>
      <c r="AU19" s="445"/>
      <c r="AV19" s="445"/>
      <c r="AW19" s="445"/>
      <c r="AX19" s="445"/>
    </row>
    <row r="20" spans="1:50">
      <c r="A20" s="428"/>
      <c r="B20" s="414"/>
      <c r="C20" s="414"/>
      <c r="D20" s="451"/>
      <c r="E20" s="414"/>
      <c r="F20" s="414"/>
      <c r="G20" s="414"/>
      <c r="H20" s="414"/>
      <c r="I20" s="414"/>
      <c r="J20" s="414"/>
      <c r="K20" s="414"/>
      <c r="L20" s="414"/>
      <c r="M20" s="414"/>
      <c r="N20" s="414"/>
      <c r="O20" s="414"/>
      <c r="P20" s="398"/>
      <c r="Q20" s="389"/>
      <c r="R20" s="450"/>
      <c r="S20" s="448"/>
      <c r="T20" s="448"/>
      <c r="U20" s="448"/>
      <c r="V20" s="414"/>
      <c r="W20" s="414"/>
      <c r="X20" s="414"/>
      <c r="Y20" s="414"/>
      <c r="Z20" s="414"/>
      <c r="AA20" s="414"/>
      <c r="AB20" s="414"/>
      <c r="AC20" s="414"/>
      <c r="AD20" s="390"/>
      <c r="AH20" s="410" t="s">
        <v>3053</v>
      </c>
      <c r="AI20" s="410"/>
      <c r="AJ20" s="410"/>
      <c r="AK20" s="410"/>
      <c r="AL20" s="410"/>
      <c r="AM20" s="681" t="s">
        <v>3054</v>
      </c>
      <c r="AN20" s="446"/>
      <c r="AO20" s="446"/>
      <c r="AP20" s="446"/>
      <c r="AQ20" s="446"/>
      <c r="AR20" s="446"/>
      <c r="AS20" s="446"/>
      <c r="AT20" s="446"/>
      <c r="AU20" s="446"/>
      <c r="AV20" s="446"/>
      <c r="AW20" s="446"/>
      <c r="AX20" s="445"/>
    </row>
    <row r="21" spans="1:50">
      <c r="A21" s="428"/>
      <c r="B21" s="414"/>
      <c r="C21" s="414"/>
      <c r="D21" s="804" t="str">
        <f>J29</f>
        <v>現場　猫</v>
      </c>
      <c r="E21" s="803"/>
      <c r="F21" s="803"/>
      <c r="G21" s="803"/>
      <c r="H21" s="803"/>
      <c r="I21" s="803"/>
      <c r="J21" s="803"/>
      <c r="K21" s="803"/>
      <c r="L21" s="803"/>
      <c r="M21" s="389" t="s">
        <v>3055</v>
      </c>
      <c r="Q21" s="449"/>
      <c r="R21" s="414"/>
      <c r="T21" s="448"/>
      <c r="U21" s="448"/>
      <c r="V21" s="414"/>
      <c r="W21" s="414"/>
      <c r="X21" s="414"/>
      <c r="Y21" s="414"/>
      <c r="Z21" s="414"/>
      <c r="AA21" s="414"/>
      <c r="AB21" s="414"/>
      <c r="AC21" s="414"/>
      <c r="AD21" s="390"/>
      <c r="AH21" s="436"/>
      <c r="AI21" s="436"/>
      <c r="AJ21" s="436"/>
      <c r="AK21" s="436"/>
      <c r="AL21" s="436"/>
      <c r="AM21" s="447"/>
      <c r="AN21" s="446"/>
      <c r="AO21" s="446"/>
      <c r="AP21" s="446"/>
      <c r="AQ21" s="446"/>
      <c r="AR21" s="446"/>
      <c r="AS21" s="446"/>
      <c r="AT21" s="446"/>
      <c r="AU21" s="446"/>
      <c r="AV21" s="446"/>
      <c r="AW21" s="446"/>
      <c r="AX21" s="445"/>
    </row>
    <row r="22" spans="1:50">
      <c r="A22" s="428"/>
      <c r="B22" s="414"/>
      <c r="C22" s="414"/>
      <c r="D22" s="444"/>
      <c r="M22" s="389"/>
      <c r="Q22" s="449"/>
      <c r="R22" s="414"/>
      <c r="T22" s="448"/>
      <c r="U22" s="448"/>
      <c r="V22" s="414"/>
      <c r="W22" s="414"/>
      <c r="X22" s="414"/>
      <c r="Y22" s="414"/>
      <c r="Z22" s="414"/>
      <c r="AA22" s="414"/>
      <c r="AB22" s="414"/>
      <c r="AC22" s="414"/>
      <c r="AD22" s="390"/>
      <c r="AH22" s="436"/>
      <c r="AI22" s="436"/>
      <c r="AJ22" s="436"/>
      <c r="AK22" s="436"/>
      <c r="AL22" s="436"/>
      <c r="AM22" s="447"/>
      <c r="AN22" s="446"/>
      <c r="AO22" s="446"/>
      <c r="AP22" s="446"/>
      <c r="AQ22" s="446"/>
      <c r="AR22" s="446"/>
      <c r="AS22" s="446"/>
      <c r="AT22" s="446"/>
      <c r="AU22" s="446"/>
      <c r="AV22" s="446"/>
      <c r="AW22" s="446"/>
      <c r="AX22" s="445"/>
    </row>
    <row r="23" spans="1:50">
      <c r="A23" s="428"/>
      <c r="B23" s="414"/>
      <c r="C23" s="414"/>
      <c r="D23" s="443" t="s">
        <v>3056</v>
      </c>
      <c r="E23" s="443"/>
      <c r="F23" s="444"/>
      <c r="G23" s="444"/>
      <c r="H23" s="444"/>
      <c r="I23" s="444"/>
      <c r="J23" s="389"/>
      <c r="K23" s="389"/>
      <c r="L23" s="389"/>
      <c r="M23" s="389"/>
      <c r="N23" s="389"/>
      <c r="O23" s="389"/>
      <c r="P23" s="389"/>
      <c r="Q23" s="389"/>
      <c r="R23" s="389"/>
      <c r="S23" s="389"/>
      <c r="T23" s="389"/>
      <c r="U23" s="389"/>
      <c r="V23" s="414"/>
      <c r="W23" s="414"/>
      <c r="X23" s="414"/>
      <c r="Y23" s="414"/>
      <c r="Z23" s="414"/>
      <c r="AA23" s="414"/>
      <c r="AB23" s="414"/>
      <c r="AC23" s="414"/>
      <c r="AD23" s="390"/>
      <c r="AH23" s="436" t="s">
        <v>2745</v>
      </c>
    </row>
    <row r="24" spans="1:50">
      <c r="A24" s="428"/>
      <c r="B24" s="389"/>
      <c r="C24" s="389"/>
      <c r="D24" s="443" t="s">
        <v>3057</v>
      </c>
      <c r="E24" s="389"/>
      <c r="F24" s="389"/>
      <c r="G24" s="389"/>
      <c r="H24" s="389"/>
      <c r="I24" s="389"/>
      <c r="J24" s="389"/>
      <c r="K24" s="389"/>
      <c r="L24" s="389"/>
      <c r="M24" s="389"/>
      <c r="N24" s="389"/>
      <c r="O24" s="389"/>
      <c r="P24" s="430"/>
      <c r="Q24" s="389"/>
      <c r="R24" s="389"/>
      <c r="S24" s="389"/>
      <c r="T24" s="389"/>
      <c r="U24" s="389"/>
      <c r="V24" s="389"/>
      <c r="W24" s="389"/>
      <c r="X24" s="389"/>
      <c r="Y24" s="389"/>
      <c r="Z24" s="389"/>
      <c r="AA24" s="389"/>
      <c r="AB24" s="389"/>
      <c r="AC24" s="389"/>
      <c r="AD24" s="390"/>
      <c r="AH24" s="5" t="s">
        <v>2753</v>
      </c>
      <c r="AI24" s="410"/>
      <c r="AJ24" s="410"/>
      <c r="AK24" s="410"/>
      <c r="AL24" s="410"/>
      <c r="AM24" s="410"/>
      <c r="AN24" s="410"/>
      <c r="AO24" s="410"/>
      <c r="AP24" s="410"/>
      <c r="AQ24" s="410"/>
      <c r="AR24" s="436"/>
      <c r="AS24" s="436"/>
      <c r="AT24" s="436"/>
      <c r="AU24" s="436"/>
      <c r="AV24" s="436"/>
      <c r="AW24" s="436"/>
    </row>
    <row r="25" spans="1:50" ht="11.1" customHeight="1">
      <c r="A25" s="442" t="s">
        <v>2815</v>
      </c>
      <c r="B25" s="441"/>
      <c r="C25" s="441"/>
      <c r="D25" s="441"/>
      <c r="E25" s="441"/>
      <c r="F25" s="441"/>
      <c r="G25" s="441"/>
      <c r="H25" s="441"/>
      <c r="I25" s="441"/>
      <c r="J25" s="441"/>
      <c r="K25" s="441"/>
      <c r="L25" s="441"/>
      <c r="M25" s="441"/>
      <c r="N25" s="441"/>
      <c r="O25" s="441"/>
      <c r="P25" s="430"/>
      <c r="Q25" s="441"/>
      <c r="R25" s="441"/>
      <c r="S25" s="441"/>
      <c r="T25" s="441"/>
      <c r="U25" s="441"/>
      <c r="V25" s="441"/>
      <c r="W25" s="441"/>
      <c r="X25" s="441"/>
      <c r="Y25" s="441"/>
      <c r="Z25" s="441"/>
      <c r="AA25" s="441"/>
      <c r="AB25" s="441"/>
      <c r="AC25" s="441"/>
      <c r="AD25" s="440"/>
    </row>
    <row r="26" spans="1:50" ht="9.9499999999999993" customHeight="1">
      <c r="A26" s="439"/>
      <c r="B26" s="411"/>
      <c r="C26" s="411"/>
      <c r="D26" s="411"/>
      <c r="E26" s="411"/>
      <c r="F26" s="411"/>
      <c r="G26" s="411"/>
      <c r="H26" s="418"/>
      <c r="I26" s="411"/>
      <c r="J26" s="411"/>
      <c r="K26" s="411"/>
      <c r="L26" s="411"/>
      <c r="M26" s="411"/>
      <c r="N26" s="411"/>
      <c r="O26" s="411"/>
      <c r="P26" s="438"/>
      <c r="Q26" s="411"/>
      <c r="R26" s="411"/>
      <c r="S26" s="411"/>
      <c r="T26" s="411"/>
      <c r="U26" s="411"/>
      <c r="V26" s="411"/>
      <c r="W26" s="411"/>
      <c r="X26" s="411"/>
      <c r="Y26" s="411"/>
      <c r="Z26" s="411"/>
      <c r="AA26" s="411"/>
      <c r="AB26" s="411"/>
      <c r="AC26" s="411"/>
      <c r="AD26" s="418"/>
      <c r="AH26" s="436"/>
      <c r="AI26" s="436"/>
      <c r="AJ26" s="436"/>
      <c r="AK26" s="436"/>
      <c r="AL26" s="436"/>
      <c r="AM26" s="436"/>
      <c r="AN26" s="436"/>
      <c r="AO26" s="436"/>
      <c r="AP26" s="436"/>
      <c r="AQ26" s="436"/>
      <c r="AR26" s="436"/>
      <c r="AS26" s="436"/>
      <c r="AT26" s="436"/>
      <c r="AU26" s="436"/>
      <c r="AV26" s="436"/>
      <c r="AW26" s="436"/>
    </row>
    <row r="27" spans="1:50">
      <c r="A27" s="810" t="s">
        <v>3058</v>
      </c>
      <c r="B27" s="811"/>
      <c r="C27" s="811"/>
      <c r="D27" s="811"/>
      <c r="E27" s="811"/>
      <c r="F27" s="811"/>
      <c r="G27" s="811"/>
      <c r="H27" s="812"/>
      <c r="I27" s="389" t="s">
        <v>3059</v>
      </c>
      <c r="J27" s="809" t="str">
        <f>cst_wskakunin_kanri1_ZIP</f>
        <v>604-0001</v>
      </c>
      <c r="K27" s="809"/>
      <c r="L27" s="809"/>
      <c r="M27" s="809"/>
      <c r="N27" s="398"/>
      <c r="O27" s="398"/>
      <c r="P27" s="414"/>
      <c r="Q27" s="398"/>
      <c r="R27" s="398"/>
      <c r="S27" s="398"/>
      <c r="T27" s="398"/>
      <c r="U27" s="398"/>
      <c r="V27" s="398"/>
      <c r="W27" s="398"/>
      <c r="X27" s="398"/>
      <c r="Y27" s="398"/>
      <c r="Z27" s="398"/>
      <c r="AA27" s="398"/>
      <c r="AB27" s="398"/>
      <c r="AC27" s="398"/>
      <c r="AD27" s="393"/>
      <c r="AH27" s="437"/>
      <c r="AI27" s="436"/>
      <c r="AJ27" s="436"/>
      <c r="AK27" s="436"/>
      <c r="AL27" s="436"/>
      <c r="AM27" s="436"/>
      <c r="AN27" s="436"/>
      <c r="AO27" s="436"/>
      <c r="AP27" s="436"/>
      <c r="AQ27" s="436"/>
      <c r="AR27" s="436"/>
      <c r="AS27" s="436"/>
      <c r="AT27" s="436"/>
      <c r="AU27" s="436"/>
      <c r="AV27" s="436"/>
      <c r="AW27" s="436"/>
    </row>
    <row r="28" spans="1:50">
      <c r="A28" s="810" t="s">
        <v>3060</v>
      </c>
      <c r="B28" s="811"/>
      <c r="C28" s="811"/>
      <c r="D28" s="811"/>
      <c r="E28" s="811"/>
      <c r="F28" s="811"/>
      <c r="G28" s="811"/>
      <c r="H28" s="812"/>
      <c r="I28" s="389"/>
      <c r="J28" s="809" t="str">
        <f>cst_wskakunin_kanri1__address</f>
        <v>京都府京都市中京区道場町1</v>
      </c>
      <c r="K28" s="816"/>
      <c r="L28" s="816"/>
      <c r="M28" s="816"/>
      <c r="N28" s="816"/>
      <c r="O28" s="816"/>
      <c r="P28" s="816"/>
      <c r="Q28" s="816"/>
      <c r="R28" s="816"/>
      <c r="S28" s="816"/>
      <c r="T28" s="816"/>
      <c r="U28" s="816"/>
      <c r="V28" s="816"/>
      <c r="W28" s="816"/>
      <c r="X28" s="816"/>
      <c r="Y28" s="816"/>
      <c r="Z28" s="816"/>
      <c r="AA28" s="816"/>
      <c r="AB28" s="816"/>
      <c r="AC28" s="816"/>
      <c r="AD28" s="393"/>
      <c r="AH28" s="410"/>
      <c r="AI28" s="436"/>
      <c r="AJ28" s="436"/>
      <c r="AK28" s="436"/>
      <c r="AL28" s="436"/>
      <c r="AM28" s="436"/>
      <c r="AN28" s="436"/>
      <c r="AO28" s="436"/>
      <c r="AP28" s="436"/>
      <c r="AQ28" s="436"/>
      <c r="AR28" s="436"/>
      <c r="AS28" s="436"/>
      <c r="AT28" s="436"/>
      <c r="AU28" s="436"/>
      <c r="AV28" s="436"/>
      <c r="AW28" s="436"/>
    </row>
    <row r="29" spans="1:50">
      <c r="A29" s="810" t="s">
        <v>3061</v>
      </c>
      <c r="B29" s="811"/>
      <c r="C29" s="811"/>
      <c r="D29" s="811"/>
      <c r="E29" s="811"/>
      <c r="F29" s="811"/>
      <c r="G29" s="811"/>
      <c r="H29" s="812"/>
      <c r="I29" s="389"/>
      <c r="J29" s="809" t="str">
        <f>cst_wskakunin_kanri1_NAME</f>
        <v>現場　猫</v>
      </c>
      <c r="K29" s="816"/>
      <c r="L29" s="816"/>
      <c r="M29" s="816"/>
      <c r="N29" s="816"/>
      <c r="O29" s="816"/>
      <c r="P29" s="816"/>
      <c r="Q29" s="816"/>
      <c r="R29" s="816"/>
      <c r="S29" s="816"/>
      <c r="T29" s="816"/>
      <c r="U29" s="816"/>
      <c r="V29" s="816"/>
      <c r="W29" s="816"/>
      <c r="X29" s="816"/>
      <c r="Y29" s="816"/>
      <c r="Z29" s="816"/>
      <c r="AA29" s="816"/>
      <c r="AB29" s="816"/>
      <c r="AC29" s="389"/>
      <c r="AD29" s="393"/>
    </row>
    <row r="30" spans="1:50">
      <c r="A30" s="807"/>
      <c r="B30" s="799"/>
      <c r="C30" s="799"/>
      <c r="D30" s="799"/>
      <c r="E30" s="799"/>
      <c r="F30" s="799"/>
      <c r="G30" s="799"/>
      <c r="H30" s="808"/>
      <c r="I30" s="389"/>
      <c r="J30" s="389"/>
      <c r="K30" s="389"/>
      <c r="L30" s="389"/>
      <c r="M30" s="389"/>
      <c r="N30" s="389"/>
      <c r="O30" s="389"/>
      <c r="P30" s="414"/>
      <c r="Q30" s="389"/>
      <c r="R30" s="389"/>
      <c r="S30" s="389"/>
      <c r="T30" s="389"/>
      <c r="U30" s="389"/>
      <c r="V30" s="389"/>
      <c r="W30" s="389"/>
      <c r="X30" s="389"/>
      <c r="Y30" s="389"/>
      <c r="Z30" s="389"/>
      <c r="AA30" s="389"/>
      <c r="AB30" s="389"/>
      <c r="AC30" s="389"/>
      <c r="AD30" s="393"/>
    </row>
    <row r="31" spans="1:50">
      <c r="A31" s="810" t="s">
        <v>3062</v>
      </c>
      <c r="B31" s="811"/>
      <c r="C31" s="811"/>
      <c r="D31" s="811"/>
      <c r="E31" s="811"/>
      <c r="F31" s="811"/>
      <c r="G31" s="811"/>
      <c r="H31" s="812"/>
      <c r="I31" s="431" t="s">
        <v>3063</v>
      </c>
      <c r="J31" s="809" t="str">
        <f>cst_wskakunin_kanri1_SIKAKU</f>
        <v>一級</v>
      </c>
      <c r="K31" s="809"/>
      <c r="L31" s="398" t="s">
        <v>3064</v>
      </c>
      <c r="M31" s="811" t="s">
        <v>3065</v>
      </c>
      <c r="N31" s="811"/>
      <c r="O31" s="430" t="s">
        <v>3066</v>
      </c>
      <c r="P31" s="816" t="str">
        <f>cst_wskakunin_kanri1_TOUROKU_KIKAN</f>
        <v>大臣</v>
      </c>
      <c r="Q31" s="816"/>
      <c r="R31" s="816"/>
      <c r="S31" s="816"/>
      <c r="T31" s="430" t="s">
        <v>3067</v>
      </c>
      <c r="U31" s="432"/>
      <c r="V31" s="432"/>
      <c r="W31" s="432"/>
      <c r="X31" s="809" t="str">
        <f>cst_wskakunin_kanri1_KENTIKUSI_NO</f>
        <v>001100</v>
      </c>
      <c r="Y31" s="809"/>
      <c r="Z31" s="809"/>
      <c r="AA31" s="809"/>
      <c r="AB31" s="809"/>
      <c r="AC31" s="430" t="s">
        <v>2762</v>
      </c>
      <c r="AD31" s="429"/>
    </row>
    <row r="32" spans="1:50">
      <c r="A32" s="810" t="s">
        <v>3068</v>
      </c>
      <c r="B32" s="811"/>
      <c r="C32" s="811"/>
      <c r="D32" s="811"/>
      <c r="E32" s="811"/>
      <c r="F32" s="811"/>
      <c r="G32" s="811"/>
      <c r="H32" s="812"/>
      <c r="I32" s="431" t="s">
        <v>3063</v>
      </c>
      <c r="J32" s="809" t="str">
        <f>cst_wskakunin_kanri1_JIMU_SIKAKU</f>
        <v>一級</v>
      </c>
      <c r="K32" s="809"/>
      <c r="L32" s="398" t="s">
        <v>3064</v>
      </c>
      <c r="M32" s="430" t="s">
        <v>3069</v>
      </c>
      <c r="N32" s="430"/>
      <c r="O32" s="430"/>
      <c r="P32" s="389"/>
      <c r="Q32" s="809" t="str">
        <f>cst_wskakunin_kanri1_JIMU_TOUROKU_KIKAN</f>
        <v>京都府</v>
      </c>
      <c r="R32" s="809"/>
      <c r="S32" s="811" t="s">
        <v>3070</v>
      </c>
      <c r="T32" s="811"/>
      <c r="U32" s="811"/>
      <c r="V32" s="811"/>
      <c r="W32" s="811"/>
      <c r="X32" s="809" t="str">
        <f>cst_wskakunin_kanri1_JIMU_NO</f>
        <v>03A00000</v>
      </c>
      <c r="Y32" s="809"/>
      <c r="Z32" s="809"/>
      <c r="AA32" s="809"/>
      <c r="AB32" s="809"/>
      <c r="AC32" s="430" t="s">
        <v>2762</v>
      </c>
      <c r="AD32" s="435"/>
    </row>
    <row r="33" spans="1:30">
      <c r="A33" s="399"/>
      <c r="B33" s="398"/>
      <c r="C33" s="398"/>
      <c r="D33" s="398"/>
      <c r="E33" s="398"/>
      <c r="F33" s="398"/>
      <c r="G33" s="398"/>
      <c r="H33" s="397"/>
      <c r="I33" s="430"/>
      <c r="J33" s="398"/>
      <c r="K33" s="398"/>
      <c r="L33" s="398"/>
      <c r="M33" s="430"/>
      <c r="N33" s="430"/>
      <c r="O33" s="430"/>
      <c r="P33" s="389"/>
      <c r="Q33" s="398"/>
      <c r="R33" s="398"/>
      <c r="S33" s="398"/>
      <c r="T33" s="398"/>
      <c r="U33" s="398"/>
      <c r="V33" s="398"/>
      <c r="W33" s="398"/>
      <c r="X33" s="430"/>
      <c r="Y33" s="430"/>
      <c r="Z33" s="430"/>
      <c r="AA33" s="430"/>
      <c r="AB33" s="430"/>
      <c r="AC33" s="430"/>
      <c r="AD33" s="435"/>
    </row>
    <row r="34" spans="1:30">
      <c r="A34" s="399"/>
      <c r="B34" s="398"/>
      <c r="C34" s="398"/>
      <c r="D34" s="398"/>
      <c r="E34" s="398"/>
      <c r="F34" s="398"/>
      <c r="G34" s="398"/>
      <c r="H34" s="397"/>
      <c r="I34" s="434" t="s">
        <v>3071</v>
      </c>
      <c r="J34" s="398"/>
      <c r="K34" s="398"/>
      <c r="L34" s="398"/>
      <c r="M34" s="430"/>
      <c r="N34" s="430"/>
      <c r="O34" s="430"/>
      <c r="P34" s="389"/>
      <c r="Q34" s="398"/>
      <c r="R34" s="398"/>
      <c r="S34" s="398"/>
      <c r="T34" s="398"/>
      <c r="U34" s="398"/>
      <c r="V34" s="398"/>
      <c r="W34" s="398"/>
      <c r="X34" s="430"/>
      <c r="Y34" s="430"/>
      <c r="Z34" s="430"/>
      <c r="AA34" s="430"/>
      <c r="AB34" s="430"/>
      <c r="AC34" s="430"/>
      <c r="AD34" s="435"/>
    </row>
    <row r="35" spans="1:30" ht="9.9499999999999993" customHeight="1">
      <c r="A35" s="807"/>
      <c r="B35" s="799"/>
      <c r="C35" s="799"/>
      <c r="D35" s="799"/>
      <c r="E35" s="799"/>
      <c r="F35" s="799"/>
      <c r="G35" s="799"/>
      <c r="H35" s="808"/>
      <c r="I35" s="434" t="s">
        <v>3072</v>
      </c>
      <c r="J35" s="389"/>
      <c r="K35" s="389"/>
      <c r="L35" s="389"/>
      <c r="M35" s="389"/>
      <c r="N35" s="389"/>
      <c r="O35" s="389"/>
      <c r="P35" s="380"/>
      <c r="Q35" s="389"/>
      <c r="R35" s="389"/>
      <c r="S35" s="389"/>
      <c r="T35" s="389"/>
      <c r="U35" s="389"/>
      <c r="V35" s="389"/>
      <c r="W35" s="389"/>
      <c r="X35" s="389"/>
      <c r="Y35" s="389"/>
      <c r="Z35" s="389"/>
      <c r="AA35" s="389"/>
      <c r="AB35" s="389"/>
      <c r="AC35" s="389"/>
      <c r="AD35" s="393"/>
    </row>
    <row r="36" spans="1:30" ht="9.9499999999999993" customHeight="1">
      <c r="A36" s="421"/>
      <c r="B36" s="420"/>
      <c r="C36" s="420"/>
      <c r="D36" s="420"/>
      <c r="E36" s="420"/>
      <c r="F36" s="420"/>
      <c r="G36" s="420"/>
      <c r="H36" s="419"/>
      <c r="I36" s="411"/>
      <c r="J36" s="411"/>
      <c r="K36" s="411"/>
      <c r="L36" s="411"/>
      <c r="M36" s="411"/>
      <c r="N36" s="411"/>
      <c r="O36" s="411"/>
      <c r="P36" s="389"/>
      <c r="Q36" s="411"/>
      <c r="R36" s="411"/>
      <c r="S36" s="411"/>
      <c r="T36" s="411"/>
      <c r="U36" s="411"/>
      <c r="V36" s="411"/>
      <c r="W36" s="411"/>
      <c r="X36" s="411"/>
      <c r="Y36" s="411"/>
      <c r="Z36" s="411"/>
      <c r="AA36" s="411"/>
      <c r="AB36" s="411"/>
      <c r="AC36" s="411"/>
      <c r="AD36" s="418"/>
    </row>
    <row r="37" spans="1:30">
      <c r="A37" s="810" t="s">
        <v>3073</v>
      </c>
      <c r="B37" s="811"/>
      <c r="C37" s="811"/>
      <c r="D37" s="811"/>
      <c r="E37" s="811"/>
      <c r="F37" s="811"/>
      <c r="G37" s="811"/>
      <c r="H37" s="812"/>
      <c r="I37" s="389" t="s">
        <v>3059</v>
      </c>
      <c r="J37" s="797"/>
      <c r="K37" s="797"/>
      <c r="L37" s="797"/>
      <c r="M37" s="797"/>
      <c r="N37" s="398"/>
      <c r="O37" s="398"/>
      <c r="P37" s="389"/>
      <c r="Q37" s="398"/>
      <c r="R37" s="398"/>
      <c r="S37" s="398"/>
      <c r="T37" s="398"/>
      <c r="U37" s="398"/>
      <c r="V37" s="398"/>
      <c r="W37" s="398"/>
      <c r="X37" s="398"/>
      <c r="Y37" s="398"/>
      <c r="Z37" s="398"/>
      <c r="AA37" s="398"/>
      <c r="AB37" s="398"/>
      <c r="AC37" s="398"/>
      <c r="AD37" s="393"/>
    </row>
    <row r="38" spans="1:30">
      <c r="A38" s="810" t="s">
        <v>3060</v>
      </c>
      <c r="B38" s="811"/>
      <c r="C38" s="811"/>
      <c r="D38" s="811"/>
      <c r="E38" s="811"/>
      <c r="F38" s="811"/>
      <c r="G38" s="811"/>
      <c r="H38" s="812"/>
      <c r="I38" s="389"/>
      <c r="J38" s="797"/>
      <c r="K38" s="798"/>
      <c r="L38" s="798"/>
      <c r="M38" s="798"/>
      <c r="N38" s="798"/>
      <c r="O38" s="798"/>
      <c r="P38" s="798"/>
      <c r="Q38" s="798"/>
      <c r="R38" s="798"/>
      <c r="S38" s="798"/>
      <c r="T38" s="798"/>
      <c r="U38" s="798"/>
      <c r="V38" s="798"/>
      <c r="W38" s="798"/>
      <c r="X38" s="798"/>
      <c r="Y38" s="798"/>
      <c r="Z38" s="798"/>
      <c r="AA38" s="798"/>
      <c r="AB38" s="798"/>
      <c r="AC38" s="798"/>
      <c r="AD38" s="393"/>
    </row>
    <row r="39" spans="1:30">
      <c r="A39" s="810" t="s">
        <v>3061</v>
      </c>
      <c r="B39" s="811"/>
      <c r="C39" s="811"/>
      <c r="D39" s="811"/>
      <c r="E39" s="811"/>
      <c r="F39" s="811"/>
      <c r="G39" s="811"/>
      <c r="H39" s="812"/>
      <c r="I39" s="389"/>
      <c r="J39" s="797"/>
      <c r="K39" s="798"/>
      <c r="L39" s="798"/>
      <c r="M39" s="798"/>
      <c r="N39" s="798"/>
      <c r="O39" s="798"/>
      <c r="P39" s="798"/>
      <c r="Q39" s="798"/>
      <c r="R39" s="798"/>
      <c r="S39" s="798"/>
      <c r="T39" s="798"/>
      <c r="U39" s="798"/>
      <c r="V39" s="798"/>
      <c r="W39" s="798"/>
      <c r="X39" s="798"/>
      <c r="Y39" s="798"/>
      <c r="Z39" s="798"/>
      <c r="AA39" s="798"/>
      <c r="AB39" s="798"/>
      <c r="AC39" s="433" t="s">
        <v>3074</v>
      </c>
      <c r="AD39" s="393"/>
    </row>
    <row r="40" spans="1:30">
      <c r="A40" s="807"/>
      <c r="B40" s="799"/>
      <c r="C40" s="799"/>
      <c r="D40" s="799"/>
      <c r="E40" s="799"/>
      <c r="F40" s="799"/>
      <c r="G40" s="799"/>
      <c r="H40" s="808"/>
      <c r="I40" s="389"/>
      <c r="J40" s="389"/>
      <c r="K40" s="389"/>
      <c r="L40" s="389"/>
      <c r="M40" s="389"/>
      <c r="N40" s="389"/>
      <c r="O40" s="389"/>
      <c r="P40" s="389"/>
      <c r="Q40" s="389"/>
      <c r="R40" s="389"/>
      <c r="S40" s="389"/>
      <c r="T40" s="389"/>
      <c r="U40" s="389"/>
      <c r="V40" s="389"/>
      <c r="W40" s="389"/>
      <c r="X40" s="389"/>
      <c r="Y40" s="389"/>
      <c r="Z40" s="389"/>
      <c r="AA40" s="389"/>
      <c r="AB40" s="389"/>
      <c r="AC40" s="389"/>
      <c r="AD40" s="393"/>
    </row>
    <row r="41" spans="1:30">
      <c r="A41" s="810" t="s">
        <v>3062</v>
      </c>
      <c r="B41" s="811"/>
      <c r="C41" s="811"/>
      <c r="D41" s="811"/>
      <c r="E41" s="811"/>
      <c r="F41" s="811"/>
      <c r="G41" s="811"/>
      <c r="H41" s="812"/>
      <c r="I41" s="431" t="s">
        <v>3063</v>
      </c>
      <c r="J41" s="797"/>
      <c r="K41" s="797"/>
      <c r="L41" s="398" t="s">
        <v>3064</v>
      </c>
      <c r="M41" s="811" t="s">
        <v>3065</v>
      </c>
      <c r="N41" s="811"/>
      <c r="O41" s="430" t="s">
        <v>3075</v>
      </c>
      <c r="P41" s="389"/>
      <c r="Q41" s="398"/>
      <c r="R41" s="797"/>
      <c r="S41" s="797"/>
      <c r="T41" s="430" t="s">
        <v>3076</v>
      </c>
      <c r="U41" s="432"/>
      <c r="V41" s="432"/>
      <c r="W41" s="480"/>
      <c r="X41" s="797"/>
      <c r="Y41" s="797"/>
      <c r="Z41" s="797"/>
      <c r="AA41" s="797"/>
      <c r="AB41" s="797"/>
      <c r="AC41" s="430" t="s">
        <v>2762</v>
      </c>
      <c r="AD41" s="429"/>
    </row>
    <row r="42" spans="1:30">
      <c r="A42" s="810" t="s">
        <v>3068</v>
      </c>
      <c r="B42" s="811"/>
      <c r="C42" s="811"/>
      <c r="D42" s="811"/>
      <c r="E42" s="811"/>
      <c r="F42" s="811"/>
      <c r="G42" s="811"/>
      <c r="H42" s="812"/>
      <c r="I42" s="431" t="s">
        <v>3063</v>
      </c>
      <c r="J42" s="797"/>
      <c r="K42" s="797"/>
      <c r="L42" s="398" t="s">
        <v>3064</v>
      </c>
      <c r="M42" s="430" t="s">
        <v>3069</v>
      </c>
      <c r="N42" s="430"/>
      <c r="O42" s="430"/>
      <c r="P42" s="414"/>
      <c r="Q42" s="797"/>
      <c r="R42" s="797"/>
      <c r="S42" s="811" t="s">
        <v>3070</v>
      </c>
      <c r="T42" s="811"/>
      <c r="U42" s="811"/>
      <c r="V42" s="811"/>
      <c r="W42" s="811"/>
      <c r="X42" s="481"/>
      <c r="Y42" s="481"/>
      <c r="Z42" s="481"/>
      <c r="AA42" s="481"/>
      <c r="AB42" s="481"/>
      <c r="AC42" s="430" t="s">
        <v>2762</v>
      </c>
      <c r="AD42" s="429"/>
    </row>
    <row r="43" spans="1:30">
      <c r="A43" s="822" t="s">
        <v>3077</v>
      </c>
      <c r="B43" s="823"/>
      <c r="C43" s="823"/>
      <c r="D43" s="823"/>
      <c r="E43" s="823"/>
      <c r="F43" s="823"/>
      <c r="G43" s="823"/>
      <c r="H43" s="824"/>
      <c r="I43" s="428"/>
      <c r="J43" s="389"/>
      <c r="K43" s="389"/>
      <c r="L43" s="389"/>
      <c r="M43" s="389"/>
      <c r="N43" s="389"/>
      <c r="O43" s="389"/>
      <c r="P43" s="414"/>
      <c r="Q43" s="389"/>
      <c r="R43" s="389"/>
      <c r="S43" s="389"/>
      <c r="T43" s="389"/>
      <c r="U43" s="389"/>
      <c r="V43" s="389"/>
      <c r="W43" s="389"/>
      <c r="X43" s="389"/>
      <c r="Y43" s="389"/>
      <c r="Z43" s="389"/>
      <c r="AA43" s="389"/>
      <c r="AB43" s="389"/>
      <c r="AC43" s="389"/>
      <c r="AD43" s="393"/>
    </row>
    <row r="44" spans="1:30" ht="9.9499999999999993" customHeight="1">
      <c r="A44" s="837" t="s">
        <v>3078</v>
      </c>
      <c r="B44" s="838"/>
      <c r="C44" s="838"/>
      <c r="D44" s="838"/>
      <c r="E44" s="838"/>
      <c r="F44" s="838"/>
      <c r="G44" s="838"/>
      <c r="H44" s="839"/>
      <c r="I44" s="427"/>
      <c r="J44" s="380"/>
      <c r="K44" s="380"/>
      <c r="L44" s="380"/>
      <c r="M44" s="380"/>
      <c r="N44" s="380"/>
      <c r="O44" s="380"/>
      <c r="P44" s="380"/>
      <c r="Q44" s="380"/>
      <c r="R44" s="380"/>
      <c r="S44" s="380"/>
      <c r="T44" s="380"/>
      <c r="U44" s="380"/>
      <c r="V44" s="380"/>
      <c r="W44" s="380"/>
      <c r="X44" s="380"/>
      <c r="Y44" s="380"/>
      <c r="Z44" s="380"/>
      <c r="AA44" s="380"/>
      <c r="AB44" s="380"/>
      <c r="AC44" s="380"/>
      <c r="AD44" s="403"/>
    </row>
    <row r="45" spans="1:30" ht="9.9499999999999993" customHeight="1">
      <c r="A45" s="426"/>
      <c r="B45" s="425"/>
      <c r="C45" s="425"/>
      <c r="D45" s="425"/>
      <c r="E45" s="425"/>
      <c r="F45" s="425"/>
      <c r="G45" s="425"/>
      <c r="H45" s="424"/>
      <c r="I45" s="389"/>
      <c r="J45" s="389"/>
      <c r="K45" s="389"/>
      <c r="L45" s="389"/>
      <c r="M45" s="389"/>
      <c r="N45" s="389"/>
      <c r="O45" s="389"/>
      <c r="P45" s="389"/>
      <c r="Q45" s="389"/>
      <c r="R45" s="389"/>
      <c r="S45" s="389"/>
      <c r="T45" s="389"/>
      <c r="U45" s="389"/>
      <c r="V45" s="389"/>
      <c r="W45" s="389"/>
      <c r="X45" s="389"/>
      <c r="Y45" s="389"/>
      <c r="Z45" s="389"/>
      <c r="AA45" s="389"/>
      <c r="AB45" s="389"/>
      <c r="AC45" s="389"/>
      <c r="AD45" s="393"/>
    </row>
    <row r="46" spans="1:30">
      <c r="A46" s="810" t="s">
        <v>3079</v>
      </c>
      <c r="B46" s="811"/>
      <c r="C46" s="811"/>
      <c r="D46" s="811"/>
      <c r="E46" s="811"/>
      <c r="F46" s="811"/>
      <c r="G46" s="811"/>
      <c r="H46" s="812"/>
      <c r="I46" s="817" t="str">
        <f>cst_wskakunin_BUILD_NAME</f>
        <v>猫山邸　新築工事</v>
      </c>
      <c r="J46" s="800"/>
      <c r="K46" s="800"/>
      <c r="L46" s="800"/>
      <c r="M46" s="800"/>
      <c r="N46" s="800"/>
      <c r="O46" s="800"/>
      <c r="P46" s="800"/>
      <c r="Q46" s="800"/>
      <c r="R46" s="800"/>
      <c r="S46" s="800"/>
      <c r="T46" s="800"/>
      <c r="U46" s="800"/>
      <c r="V46" s="800"/>
      <c r="W46" s="800"/>
      <c r="X46" s="800"/>
      <c r="Y46" s="800"/>
      <c r="Z46" s="800"/>
      <c r="AA46" s="800"/>
      <c r="AB46" s="800"/>
      <c r="AC46" s="800"/>
      <c r="AD46" s="818"/>
    </row>
    <row r="47" spans="1:30">
      <c r="A47" s="413"/>
      <c r="B47" s="408"/>
      <c r="C47" s="408"/>
      <c r="D47" s="408"/>
      <c r="E47" s="408"/>
      <c r="F47" s="408"/>
      <c r="G47" s="408"/>
      <c r="H47" s="412"/>
      <c r="I47" s="423"/>
      <c r="J47" s="422"/>
      <c r="K47" s="422"/>
      <c r="L47" s="422"/>
      <c r="M47" s="422"/>
      <c r="N47" s="422"/>
      <c r="O47" s="422"/>
      <c r="P47" s="422"/>
      <c r="Q47" s="422"/>
      <c r="R47" s="422"/>
      <c r="S47" s="422"/>
      <c r="T47" s="422"/>
      <c r="U47" s="422"/>
      <c r="V47" s="422"/>
      <c r="W47" s="422"/>
      <c r="X47" s="422"/>
      <c r="Y47" s="422"/>
      <c r="Z47" s="422"/>
      <c r="AA47" s="422"/>
      <c r="AB47" s="422"/>
      <c r="AC47" s="422"/>
      <c r="AD47" s="393"/>
    </row>
    <row r="48" spans="1:30" ht="9.9499999999999993" customHeight="1">
      <c r="A48" s="421"/>
      <c r="B48" s="420"/>
      <c r="C48" s="420"/>
      <c r="D48" s="420"/>
      <c r="E48" s="420"/>
      <c r="F48" s="420"/>
      <c r="G48" s="420"/>
      <c r="H48" s="419"/>
      <c r="I48" s="411"/>
      <c r="J48" s="411"/>
      <c r="K48" s="411"/>
      <c r="L48" s="411"/>
      <c r="M48" s="411"/>
      <c r="N48" s="411"/>
      <c r="O48" s="411"/>
      <c r="P48" s="389"/>
      <c r="Q48" s="411"/>
      <c r="R48" s="411"/>
      <c r="S48" s="411"/>
      <c r="T48" s="411"/>
      <c r="U48" s="411"/>
      <c r="V48" s="411"/>
      <c r="W48" s="411"/>
      <c r="X48" s="411"/>
      <c r="Y48" s="411"/>
      <c r="Z48" s="411"/>
      <c r="AA48" s="411"/>
      <c r="AB48" s="411"/>
      <c r="AC48" s="411"/>
      <c r="AD48" s="418"/>
    </row>
    <row r="49" spans="1:42">
      <c r="A49" s="810" t="s">
        <v>3080</v>
      </c>
      <c r="B49" s="811"/>
      <c r="C49" s="811"/>
      <c r="D49" s="811"/>
      <c r="E49" s="811"/>
      <c r="F49" s="811"/>
      <c r="G49" s="811"/>
      <c r="H49" s="812"/>
      <c r="I49" s="819" t="str">
        <f>cst_wskakunin_BUILD__address</f>
        <v>大阪府茨木市山手台2-2-2</v>
      </c>
      <c r="J49" s="820"/>
      <c r="K49" s="820"/>
      <c r="L49" s="820"/>
      <c r="M49" s="820"/>
      <c r="N49" s="820"/>
      <c r="O49" s="820"/>
      <c r="P49" s="820"/>
      <c r="Q49" s="820"/>
      <c r="R49" s="820"/>
      <c r="S49" s="820"/>
      <c r="T49" s="820"/>
      <c r="U49" s="820"/>
      <c r="V49" s="820"/>
      <c r="W49" s="820"/>
      <c r="X49" s="820"/>
      <c r="Y49" s="820"/>
      <c r="Z49" s="820"/>
      <c r="AA49" s="820"/>
      <c r="AB49" s="820"/>
      <c r="AC49" s="820"/>
      <c r="AD49" s="821"/>
    </row>
    <row r="50" spans="1:42">
      <c r="A50" s="822" t="s">
        <v>3081</v>
      </c>
      <c r="B50" s="823"/>
      <c r="C50" s="823"/>
      <c r="D50" s="823"/>
      <c r="E50" s="823"/>
      <c r="F50" s="823"/>
      <c r="G50" s="823"/>
      <c r="H50" s="824"/>
      <c r="I50" s="819"/>
      <c r="J50" s="820"/>
      <c r="K50" s="820"/>
      <c r="L50" s="820"/>
      <c r="M50" s="820"/>
      <c r="N50" s="820"/>
      <c r="O50" s="820"/>
      <c r="P50" s="820"/>
      <c r="Q50" s="820"/>
      <c r="R50" s="820"/>
      <c r="S50" s="820"/>
      <c r="T50" s="820"/>
      <c r="U50" s="820"/>
      <c r="V50" s="820"/>
      <c r="W50" s="820"/>
      <c r="X50" s="820"/>
      <c r="Y50" s="820"/>
      <c r="Z50" s="820"/>
      <c r="AA50" s="820"/>
      <c r="AB50" s="820"/>
      <c r="AC50" s="820"/>
      <c r="AD50" s="821"/>
    </row>
    <row r="51" spans="1:42" ht="9.9499999999999993" customHeight="1">
      <c r="A51" s="417"/>
      <c r="B51" s="416"/>
      <c r="C51" s="416"/>
      <c r="D51" s="416"/>
      <c r="E51" s="416"/>
      <c r="F51" s="416"/>
      <c r="G51" s="416"/>
      <c r="H51" s="415"/>
      <c r="I51" s="380"/>
      <c r="J51" s="380"/>
      <c r="K51" s="380"/>
      <c r="L51" s="380"/>
      <c r="M51" s="380"/>
      <c r="N51" s="380"/>
      <c r="O51" s="380"/>
      <c r="P51" s="414"/>
      <c r="Q51" s="380"/>
      <c r="R51" s="380"/>
      <c r="S51" s="380"/>
      <c r="T51" s="380"/>
      <c r="U51" s="380"/>
      <c r="V51" s="380"/>
      <c r="W51" s="380"/>
      <c r="X51" s="380"/>
      <c r="Y51" s="380"/>
      <c r="Z51" s="380"/>
      <c r="AA51" s="380"/>
      <c r="AB51" s="380"/>
      <c r="AC51" s="380"/>
      <c r="AD51" s="403"/>
    </row>
    <row r="52" spans="1:42" ht="9.9499999999999993" customHeight="1">
      <c r="A52" s="421"/>
      <c r="B52" s="420"/>
      <c r="C52" s="420"/>
      <c r="D52" s="420"/>
      <c r="E52" s="420"/>
      <c r="F52" s="420"/>
      <c r="G52" s="420"/>
      <c r="H52" s="419"/>
      <c r="I52" s="411"/>
      <c r="J52" s="411"/>
      <c r="K52" s="411"/>
      <c r="L52" s="411"/>
      <c r="M52" s="411"/>
      <c r="N52" s="411"/>
      <c r="O52" s="411"/>
      <c r="P52" s="411"/>
      <c r="Q52" s="411"/>
      <c r="R52" s="411"/>
      <c r="S52" s="411"/>
      <c r="T52" s="411"/>
      <c r="U52" s="411"/>
      <c r="V52" s="411"/>
      <c r="W52" s="411"/>
      <c r="X52" s="411"/>
      <c r="Y52" s="411"/>
      <c r="Z52" s="411"/>
      <c r="AA52" s="411"/>
      <c r="AB52" s="411"/>
      <c r="AC52" s="411"/>
      <c r="AD52" s="418"/>
    </row>
    <row r="53" spans="1:42">
      <c r="A53" s="810" t="s">
        <v>3082</v>
      </c>
      <c r="B53" s="811"/>
      <c r="C53" s="811"/>
      <c r="D53" s="811"/>
      <c r="E53" s="811"/>
      <c r="F53" s="811"/>
      <c r="G53" s="811"/>
      <c r="H53" s="812"/>
      <c r="I53" s="389"/>
      <c r="K53" s="389" t="s">
        <v>2982</v>
      </c>
      <c r="M53" s="814" t="s">
        <v>3083</v>
      </c>
      <c r="N53" s="814"/>
      <c r="O53" s="814"/>
      <c r="P53" s="814"/>
      <c r="Q53" s="815"/>
      <c r="R53" s="815"/>
      <c r="S53" s="815"/>
      <c r="T53" s="815"/>
      <c r="U53" s="815"/>
      <c r="V53" s="389" t="s">
        <v>2762</v>
      </c>
      <c r="W53" s="389"/>
      <c r="X53" s="389"/>
      <c r="Y53" s="389"/>
      <c r="Z53" s="389"/>
      <c r="AA53" s="389"/>
      <c r="AB53" s="389"/>
      <c r="AC53" s="389"/>
      <c r="AD53" s="393"/>
      <c r="AG53" s="410" t="s">
        <v>3083</v>
      </c>
      <c r="AH53" s="410"/>
      <c r="AI53" s="410"/>
      <c r="AJ53" s="410"/>
      <c r="AK53" s="410"/>
      <c r="AL53" s="410"/>
      <c r="AM53" s="410"/>
      <c r="AN53" s="409"/>
      <c r="AO53" s="409"/>
      <c r="AP53" s="409"/>
    </row>
    <row r="54" spans="1:42" ht="9.9499999999999993" customHeight="1">
      <c r="A54" s="413"/>
      <c r="B54" s="408"/>
      <c r="C54" s="408"/>
      <c r="D54" s="408"/>
      <c r="E54" s="408"/>
      <c r="F54" s="408"/>
      <c r="G54" s="408"/>
      <c r="H54" s="412"/>
      <c r="I54" s="389"/>
      <c r="J54" s="389"/>
      <c r="K54" s="389"/>
      <c r="L54" s="389"/>
      <c r="M54" s="389"/>
      <c r="N54" s="389"/>
      <c r="O54" s="389"/>
      <c r="P54" s="414"/>
      <c r="Q54" s="389"/>
      <c r="R54" s="389"/>
      <c r="S54" s="389"/>
      <c r="T54" s="389"/>
      <c r="U54" s="389"/>
      <c r="V54" s="389"/>
      <c r="W54" s="389"/>
      <c r="X54" s="389"/>
      <c r="Y54" s="389"/>
      <c r="Z54" s="389"/>
      <c r="AA54" s="389"/>
      <c r="AB54" s="389"/>
      <c r="AC54" s="389"/>
      <c r="AD54" s="393"/>
      <c r="AG54" s="410" t="s">
        <v>3084</v>
      </c>
    </row>
    <row r="55" spans="1:42">
      <c r="A55" s="810" t="s">
        <v>3085</v>
      </c>
      <c r="B55" s="811"/>
      <c r="C55" s="811"/>
      <c r="D55" s="811"/>
      <c r="E55" s="811"/>
      <c r="F55" s="811"/>
      <c r="G55" s="811"/>
      <c r="H55" s="812"/>
      <c r="I55" s="389"/>
      <c r="J55" s="389"/>
      <c r="K55" s="389"/>
      <c r="L55" s="796" t="str">
        <f ca="1">TEXT(TODAY(),"ggg")</f>
        <v>令和</v>
      </c>
      <c r="M55" s="796"/>
      <c r="N55" s="392"/>
      <c r="O55" s="392" t="s">
        <v>2822</v>
      </c>
      <c r="P55" s="414"/>
      <c r="Q55" s="392" t="s">
        <v>2823</v>
      </c>
      <c r="R55" s="392"/>
      <c r="S55" s="392" t="s">
        <v>2824</v>
      </c>
      <c r="T55" s="389"/>
      <c r="U55" s="389"/>
      <c r="V55" s="389"/>
      <c r="W55" s="389"/>
      <c r="X55" s="389"/>
      <c r="Y55" s="389"/>
      <c r="Z55" s="389"/>
      <c r="AA55" s="389"/>
      <c r="AB55" s="389"/>
      <c r="AC55" s="389"/>
      <c r="AD55" s="393"/>
      <c r="AG55" s="410" t="s">
        <v>3086</v>
      </c>
    </row>
    <row r="56" spans="1:42" ht="9.9499999999999993" customHeight="1">
      <c r="A56" s="417"/>
      <c r="B56" s="416"/>
      <c r="C56" s="416"/>
      <c r="D56" s="416"/>
      <c r="E56" s="416"/>
      <c r="F56" s="416"/>
      <c r="G56" s="416"/>
      <c r="H56" s="415"/>
      <c r="I56" s="380"/>
      <c r="J56" s="380"/>
      <c r="K56" s="380"/>
      <c r="L56" s="380"/>
      <c r="M56" s="380"/>
      <c r="N56" s="380"/>
      <c r="O56" s="380"/>
      <c r="P56" s="414"/>
      <c r="Q56" s="380"/>
      <c r="R56" s="380"/>
      <c r="S56" s="380"/>
      <c r="T56" s="380"/>
      <c r="U56" s="380"/>
      <c r="V56" s="380"/>
      <c r="W56" s="380"/>
      <c r="X56" s="380"/>
      <c r="Y56" s="380"/>
      <c r="Z56" s="380"/>
      <c r="AA56" s="380"/>
      <c r="AB56" s="380"/>
      <c r="AC56" s="380"/>
      <c r="AD56" s="403"/>
      <c r="AG56" s="410" t="s">
        <v>3087</v>
      </c>
    </row>
    <row r="57" spans="1:42" ht="9.9499999999999993" customHeight="1">
      <c r="A57" s="413"/>
      <c r="B57" s="408"/>
      <c r="C57" s="408"/>
      <c r="D57" s="408"/>
      <c r="E57" s="408"/>
      <c r="F57" s="408"/>
      <c r="G57" s="408"/>
      <c r="H57" s="412"/>
      <c r="I57" s="389"/>
      <c r="J57" s="389"/>
      <c r="K57" s="389"/>
      <c r="L57" s="389"/>
      <c r="M57" s="389"/>
      <c r="N57" s="389"/>
      <c r="O57" s="389"/>
      <c r="P57" s="411"/>
      <c r="Q57" s="389"/>
      <c r="R57" s="389"/>
      <c r="S57" s="389"/>
      <c r="T57" s="389"/>
      <c r="U57" s="389"/>
      <c r="V57" s="389"/>
      <c r="W57" s="389"/>
      <c r="X57" s="389"/>
      <c r="Y57" s="389"/>
      <c r="Z57" s="389"/>
      <c r="AA57" s="389"/>
      <c r="AB57" s="389"/>
      <c r="AC57" s="389"/>
      <c r="AD57" s="393"/>
      <c r="AG57" s="410" t="s">
        <v>3088</v>
      </c>
    </row>
    <row r="58" spans="1:42">
      <c r="A58" s="810" t="s">
        <v>3089</v>
      </c>
      <c r="B58" s="811"/>
      <c r="C58" s="811"/>
      <c r="D58" s="811"/>
      <c r="E58" s="811"/>
      <c r="F58" s="811"/>
      <c r="G58" s="811"/>
      <c r="H58" s="812"/>
      <c r="I58" s="389"/>
      <c r="J58" s="799" t="s">
        <v>3090</v>
      </c>
      <c r="K58" s="799"/>
      <c r="L58" s="799"/>
      <c r="M58" s="799"/>
      <c r="N58" s="799"/>
      <c r="O58" s="389"/>
      <c r="P58" s="389"/>
      <c r="Q58" s="389"/>
      <c r="R58" s="389"/>
      <c r="S58" s="389"/>
      <c r="T58" s="389"/>
      <c r="U58" s="389"/>
      <c r="V58" s="796" t="str">
        <f t="shared" ref="V58:V61" ca="1" si="0">TEXT(TODAY(),"ggg")</f>
        <v>令和</v>
      </c>
      <c r="W58" s="796"/>
      <c r="X58" s="482" t="str">
        <f>cst_wskakunin_KOUJI_TYAKUSYU_YOTEI_DATE</f>
        <v/>
      </c>
      <c r="Y58" s="392" t="s">
        <v>2822</v>
      </c>
      <c r="Z58" s="483" t="str">
        <f>cst_wskakunin_KOUJI_TYAKUSYU_YOTEI_DATE</f>
        <v/>
      </c>
      <c r="AA58" s="392" t="s">
        <v>2823</v>
      </c>
      <c r="AB58" s="484" t="str">
        <f>cst_wskakunin_KOUJI_TYAKUSYU_YOTEI_DATE</f>
        <v/>
      </c>
      <c r="AC58" s="392" t="s">
        <v>2824</v>
      </c>
      <c r="AD58" s="407"/>
      <c r="AG58" s="410" t="s">
        <v>3091</v>
      </c>
      <c r="AH58" s="410"/>
      <c r="AI58" s="410"/>
      <c r="AJ58" s="410"/>
      <c r="AK58" s="410"/>
      <c r="AL58" s="409"/>
      <c r="AM58" s="409"/>
      <c r="AN58" s="409"/>
      <c r="AO58" s="409"/>
      <c r="AP58" s="409"/>
    </row>
    <row r="59" spans="1:42">
      <c r="A59" s="391"/>
      <c r="B59" s="375"/>
      <c r="C59" s="375"/>
      <c r="D59" s="375"/>
      <c r="E59" s="375"/>
      <c r="F59" s="375"/>
      <c r="G59" s="375"/>
      <c r="H59" s="390"/>
      <c r="I59" s="389"/>
      <c r="J59" s="799" t="s">
        <v>3092</v>
      </c>
      <c r="K59" s="799"/>
      <c r="L59" s="799"/>
      <c r="M59" s="799"/>
      <c r="N59" s="799"/>
      <c r="O59" s="389"/>
      <c r="P59" s="389"/>
      <c r="Q59" s="389"/>
      <c r="R59" s="389"/>
      <c r="S59" s="389"/>
      <c r="T59" s="389"/>
      <c r="U59" s="389"/>
      <c r="V59" s="796" t="str">
        <f t="shared" ca="1" si="0"/>
        <v>令和</v>
      </c>
      <c r="W59" s="796"/>
      <c r="X59" s="482" t="str">
        <f>cst_wskakunin_koutei01_KOUTEI_DATE</f>
        <v/>
      </c>
      <c r="Y59" s="392" t="s">
        <v>2822</v>
      </c>
      <c r="Z59" s="483" t="str">
        <f>cst_wskakunin_koutei01_KOUTEI_DATE</f>
        <v/>
      </c>
      <c r="AA59" s="392" t="s">
        <v>2823</v>
      </c>
      <c r="AB59" s="484" t="str">
        <f>cst_wskakunin_koutei01_KOUTEI_DATE</f>
        <v/>
      </c>
      <c r="AC59" s="392" t="s">
        <v>2824</v>
      </c>
      <c r="AD59" s="407"/>
      <c r="AI59" s="409" t="s">
        <v>2830</v>
      </c>
      <c r="AJ59" s="409"/>
      <c r="AK59" s="409"/>
      <c r="AL59" s="409"/>
      <c r="AM59" s="409"/>
      <c r="AN59" s="409"/>
      <c r="AO59" s="409"/>
      <c r="AP59" s="409"/>
    </row>
    <row r="60" spans="1:42">
      <c r="A60" s="822" t="s">
        <v>3093</v>
      </c>
      <c r="B60" s="823"/>
      <c r="C60" s="823"/>
      <c r="D60" s="823"/>
      <c r="E60" s="823"/>
      <c r="F60" s="823"/>
      <c r="G60" s="823"/>
      <c r="H60" s="824"/>
      <c r="I60" s="389"/>
      <c r="J60" s="799" t="s">
        <v>3094</v>
      </c>
      <c r="K60" s="799"/>
      <c r="L60" s="799"/>
      <c r="M60" s="799"/>
      <c r="N60" s="799"/>
      <c r="O60" s="389"/>
      <c r="P60" s="389"/>
      <c r="Q60" s="389"/>
      <c r="R60" s="389"/>
      <c r="S60" s="389"/>
      <c r="T60" s="389"/>
      <c r="U60" s="389"/>
      <c r="V60" s="796" t="str">
        <f t="shared" ca="1" si="0"/>
        <v>令和</v>
      </c>
      <c r="W60" s="796"/>
      <c r="X60" s="482" t="str">
        <f>cst_wskakunin_koutei02_KOUTEI_DATE</f>
        <v/>
      </c>
      <c r="Y60" s="392" t="s">
        <v>2822</v>
      </c>
      <c r="Z60" s="483" t="str">
        <f>cst_wskakunin_koutei02_KOUTEI_DATE</f>
        <v/>
      </c>
      <c r="AA60" s="392" t="s">
        <v>2823</v>
      </c>
      <c r="AB60" s="484" t="str">
        <f>cst_wskakunin_koutei02_KOUTEI_DATE</f>
        <v/>
      </c>
      <c r="AC60" s="392" t="s">
        <v>2824</v>
      </c>
      <c r="AD60" s="407"/>
      <c r="AI60" s="409" t="s">
        <v>2830</v>
      </c>
      <c r="AJ60" s="409"/>
      <c r="AK60" s="409"/>
      <c r="AL60" s="409"/>
      <c r="AM60" s="409"/>
      <c r="AN60" s="409"/>
      <c r="AO60" s="409"/>
      <c r="AP60" s="409"/>
    </row>
    <row r="61" spans="1:42">
      <c r="A61" s="822" t="s">
        <v>3095</v>
      </c>
      <c r="B61" s="823"/>
      <c r="C61" s="823"/>
      <c r="D61" s="823"/>
      <c r="E61" s="823"/>
      <c r="F61" s="823"/>
      <c r="G61" s="823"/>
      <c r="H61" s="824"/>
      <c r="I61" s="389"/>
      <c r="J61" s="799" t="s">
        <v>3096</v>
      </c>
      <c r="K61" s="799"/>
      <c r="L61" s="799"/>
      <c r="M61" s="799"/>
      <c r="N61" s="799"/>
      <c r="O61" s="389"/>
      <c r="P61" s="389"/>
      <c r="Q61" s="389"/>
      <c r="R61" s="389"/>
      <c r="S61" s="389"/>
      <c r="T61" s="389"/>
      <c r="U61" s="389"/>
      <c r="V61" s="796" t="str">
        <f t="shared" ca="1" si="0"/>
        <v>令和</v>
      </c>
      <c r="W61" s="796"/>
      <c r="X61" s="482">
        <f>cst_wskakunin_KOUJI_KANRYOU_YOTEI_DATE</f>
        <v>45416</v>
      </c>
      <c r="Y61" s="392" t="s">
        <v>2822</v>
      </c>
      <c r="Z61" s="483">
        <f>cst_wskakunin_KOUJI_KANRYOU_YOTEI_DATE</f>
        <v>45416</v>
      </c>
      <c r="AA61" s="392" t="s">
        <v>2823</v>
      </c>
      <c r="AB61" s="484">
        <f>cst_wskakunin_KOUJI_KANRYOU_YOTEI_DATE</f>
        <v>45416</v>
      </c>
      <c r="AC61" s="392" t="s">
        <v>2824</v>
      </c>
      <c r="AD61" s="407"/>
      <c r="AI61" s="813" t="s">
        <v>2830</v>
      </c>
      <c r="AJ61" s="813"/>
      <c r="AK61" s="813"/>
      <c r="AL61" s="813"/>
      <c r="AM61" s="813"/>
      <c r="AN61" s="813"/>
      <c r="AO61" s="813"/>
      <c r="AP61" s="813"/>
    </row>
    <row r="62" spans="1:42" ht="9.9499999999999993" customHeight="1">
      <c r="A62" s="406"/>
      <c r="B62" s="405"/>
      <c r="C62" s="405"/>
      <c r="D62" s="405"/>
      <c r="E62" s="405"/>
      <c r="F62" s="405"/>
      <c r="G62" s="405"/>
      <c r="H62" s="404"/>
      <c r="I62" s="380"/>
      <c r="J62" s="380"/>
      <c r="K62" s="380"/>
      <c r="L62" s="380"/>
      <c r="M62" s="380"/>
      <c r="N62" s="380"/>
      <c r="O62" s="380"/>
      <c r="P62" s="380"/>
      <c r="Q62" s="380"/>
      <c r="R62" s="380"/>
      <c r="S62" s="380"/>
      <c r="T62" s="380"/>
      <c r="U62" s="380"/>
      <c r="V62" s="380"/>
      <c r="W62" s="380"/>
      <c r="X62" s="380"/>
      <c r="Y62" s="380"/>
      <c r="Z62" s="380"/>
      <c r="AA62" s="380"/>
      <c r="AB62" s="380"/>
      <c r="AC62" s="380"/>
      <c r="AD62" s="403"/>
    </row>
    <row r="63" spans="1:42" ht="9.9499999999999993" customHeight="1">
      <c r="A63" s="402"/>
      <c r="B63" s="401"/>
      <c r="C63" s="401"/>
      <c r="D63" s="401"/>
      <c r="E63" s="401"/>
      <c r="F63" s="401"/>
      <c r="G63" s="401"/>
      <c r="H63" s="400"/>
      <c r="I63" s="389"/>
      <c r="J63" s="389"/>
      <c r="K63" s="389"/>
      <c r="L63" s="389"/>
      <c r="M63" s="389"/>
      <c r="N63" s="389"/>
      <c r="O63" s="389"/>
      <c r="P63" s="389"/>
      <c r="Q63" s="389"/>
      <c r="R63" s="389"/>
      <c r="S63" s="389"/>
      <c r="T63" s="389"/>
      <c r="U63" s="389"/>
      <c r="V63" s="389"/>
      <c r="W63" s="389"/>
      <c r="X63" s="389"/>
      <c r="Y63" s="389"/>
      <c r="Z63" s="389"/>
      <c r="AA63" s="389"/>
      <c r="AB63" s="389"/>
      <c r="AC63" s="389"/>
      <c r="AD63" s="393"/>
    </row>
    <row r="64" spans="1:42">
      <c r="A64" s="810" t="s">
        <v>3097</v>
      </c>
      <c r="B64" s="811"/>
      <c r="C64" s="811"/>
      <c r="D64" s="811"/>
      <c r="E64" s="811"/>
      <c r="F64" s="811"/>
      <c r="G64" s="811"/>
      <c r="H64" s="812"/>
      <c r="I64" s="389"/>
      <c r="J64" s="389"/>
      <c r="K64" s="389"/>
      <c r="L64" s="389"/>
      <c r="M64" s="389"/>
      <c r="N64" s="389"/>
      <c r="O64" s="389"/>
      <c r="P64" s="389"/>
      <c r="Q64" s="389"/>
      <c r="R64" s="389"/>
      <c r="S64" s="389"/>
      <c r="T64" s="389"/>
      <c r="U64" s="389"/>
      <c r="V64" s="389"/>
      <c r="W64" s="389"/>
      <c r="X64" s="389"/>
      <c r="Y64" s="389"/>
      <c r="Z64" s="389"/>
      <c r="AA64" s="389"/>
      <c r="AB64" s="389"/>
      <c r="AC64" s="389"/>
      <c r="AD64" s="393"/>
    </row>
    <row r="65" spans="1:32">
      <c r="A65" s="391"/>
      <c r="B65" s="375"/>
      <c r="C65" s="375"/>
      <c r="D65" s="375"/>
      <c r="E65" s="375"/>
      <c r="F65" s="375"/>
      <c r="G65" s="375"/>
      <c r="H65" s="390"/>
      <c r="I65" s="389"/>
      <c r="J65" s="389"/>
      <c r="K65" s="389"/>
      <c r="L65" s="389"/>
      <c r="M65" s="389"/>
      <c r="N65" s="389"/>
      <c r="O65" s="389"/>
      <c r="P65" s="389"/>
      <c r="Q65" s="389"/>
      <c r="R65" s="389"/>
      <c r="S65" s="389"/>
      <c r="T65" s="389"/>
      <c r="U65" s="389"/>
      <c r="V65" s="389"/>
      <c r="W65" s="389"/>
      <c r="X65" s="389"/>
      <c r="Y65" s="389"/>
      <c r="Z65" s="389"/>
      <c r="AA65" s="389"/>
      <c r="AB65" s="389"/>
      <c r="AC65" s="389"/>
      <c r="AD65" s="393"/>
    </row>
    <row r="66" spans="1:32">
      <c r="A66" s="832" t="s">
        <v>3098</v>
      </c>
      <c r="B66" s="833"/>
      <c r="C66" s="833"/>
      <c r="D66" s="833"/>
      <c r="E66" s="833"/>
      <c r="F66" s="833"/>
      <c r="G66" s="833"/>
      <c r="H66" s="834"/>
      <c r="I66" s="389"/>
      <c r="J66" s="389"/>
      <c r="K66" s="389"/>
      <c r="L66" s="389"/>
      <c r="M66" s="389"/>
      <c r="N66" s="389"/>
      <c r="O66" s="389"/>
      <c r="P66" s="389"/>
      <c r="Q66" s="389"/>
      <c r="R66" s="389"/>
      <c r="S66" s="389"/>
      <c r="T66" s="389"/>
      <c r="U66" s="389"/>
      <c r="V66" s="389"/>
      <c r="W66" s="389"/>
      <c r="X66" s="389"/>
      <c r="Y66" s="389"/>
      <c r="Z66" s="389"/>
      <c r="AA66" s="389"/>
      <c r="AB66" s="389"/>
      <c r="AC66" s="389"/>
      <c r="AD66" s="393"/>
    </row>
    <row r="67" spans="1:32">
      <c r="A67" s="832" t="s">
        <v>3099</v>
      </c>
      <c r="B67" s="833"/>
      <c r="C67" s="833"/>
      <c r="D67" s="833"/>
      <c r="E67" s="833"/>
      <c r="F67" s="833"/>
      <c r="G67" s="833"/>
      <c r="H67" s="834"/>
      <c r="I67" s="389"/>
      <c r="J67" s="389"/>
      <c r="K67" s="389"/>
      <c r="L67" s="389"/>
      <c r="M67" s="389"/>
      <c r="N67" s="389"/>
      <c r="O67" s="389"/>
      <c r="P67" s="389"/>
      <c r="Q67" s="389"/>
      <c r="R67" s="389"/>
      <c r="S67" s="389"/>
      <c r="T67" s="389"/>
      <c r="U67" s="389"/>
      <c r="V67" s="389"/>
      <c r="W67" s="389"/>
      <c r="X67" s="389"/>
      <c r="Y67" s="389"/>
      <c r="Z67" s="389"/>
      <c r="AA67" s="389"/>
      <c r="AB67" s="389"/>
      <c r="AC67" s="389"/>
      <c r="AD67" s="393"/>
    </row>
    <row r="68" spans="1:32" ht="9.9499999999999993" customHeight="1">
      <c r="A68" s="396"/>
      <c r="B68" s="395"/>
      <c r="C68" s="395"/>
      <c r="D68" s="395"/>
      <c r="E68" s="395"/>
      <c r="F68" s="395"/>
      <c r="G68" s="395"/>
      <c r="H68" s="394"/>
      <c r="I68" s="389"/>
      <c r="J68" s="389"/>
      <c r="K68" s="389"/>
      <c r="L68" s="389"/>
      <c r="M68" s="389"/>
      <c r="N68" s="389"/>
      <c r="O68" s="389"/>
      <c r="P68" s="389"/>
      <c r="Q68" s="389"/>
      <c r="R68" s="389"/>
      <c r="S68" s="389"/>
      <c r="T68" s="389"/>
      <c r="U68" s="389"/>
      <c r="V68" s="389"/>
      <c r="W68" s="389"/>
      <c r="X68" s="389"/>
      <c r="Y68" s="389"/>
      <c r="Z68" s="389"/>
      <c r="AA68" s="389"/>
      <c r="AB68" s="389"/>
      <c r="AC68" s="389"/>
      <c r="AD68" s="393"/>
    </row>
    <row r="69" spans="1:32">
      <c r="A69" s="826" t="s">
        <v>3100</v>
      </c>
      <c r="B69" s="827"/>
      <c r="C69" s="827"/>
      <c r="D69" s="827"/>
      <c r="E69" s="827"/>
      <c r="F69" s="827"/>
      <c r="G69" s="827"/>
      <c r="H69" s="828"/>
      <c r="I69" s="829" t="s">
        <v>3101</v>
      </c>
      <c r="J69" s="830"/>
      <c r="K69" s="830"/>
      <c r="L69" s="830"/>
      <c r="M69" s="830"/>
      <c r="N69" s="830"/>
      <c r="O69" s="830"/>
      <c r="P69" s="830"/>
      <c r="Q69" s="830"/>
      <c r="R69" s="830"/>
      <c r="S69" s="831"/>
      <c r="T69" s="829" t="s">
        <v>3102</v>
      </c>
      <c r="U69" s="835"/>
      <c r="V69" s="835"/>
      <c r="W69" s="835"/>
      <c r="X69" s="835"/>
      <c r="Y69" s="835"/>
      <c r="Z69" s="835"/>
      <c r="AA69" s="835"/>
      <c r="AB69" s="835"/>
      <c r="AC69" s="835"/>
      <c r="AD69" s="836"/>
    </row>
    <row r="70" spans="1:32">
      <c r="A70" s="391"/>
      <c r="B70" s="375"/>
      <c r="C70" s="375"/>
      <c r="D70" s="375"/>
      <c r="E70" s="375"/>
      <c r="F70" s="375"/>
      <c r="G70" s="375"/>
      <c r="H70" s="390"/>
      <c r="I70" s="389"/>
      <c r="J70" s="389"/>
      <c r="K70" s="389"/>
      <c r="L70" s="389"/>
      <c r="M70" s="389"/>
      <c r="N70" s="389"/>
      <c r="O70" s="389"/>
      <c r="P70" s="389"/>
      <c r="Q70" s="389"/>
      <c r="R70" s="389"/>
      <c r="S70" s="389"/>
      <c r="T70" s="388"/>
      <c r="U70" s="387"/>
      <c r="V70" s="387"/>
      <c r="W70" s="387"/>
      <c r="X70" s="387"/>
      <c r="Y70" s="387"/>
      <c r="Z70" s="387"/>
      <c r="AA70" s="387"/>
      <c r="AB70" s="387"/>
      <c r="AC70" s="387"/>
      <c r="AD70" s="386"/>
    </row>
    <row r="71" spans="1:32">
      <c r="A71" s="391"/>
      <c r="B71" s="375"/>
      <c r="C71" s="375"/>
      <c r="D71" s="375"/>
      <c r="E71" s="375"/>
      <c r="F71" s="375"/>
      <c r="G71" s="375"/>
      <c r="H71" s="390"/>
      <c r="I71" s="389"/>
      <c r="J71" s="389"/>
      <c r="K71" s="389"/>
      <c r="L71" s="389"/>
      <c r="M71" s="389"/>
      <c r="N71" s="389"/>
      <c r="O71" s="389"/>
      <c r="P71" s="389"/>
      <c r="Q71" s="389"/>
      <c r="R71" s="389"/>
      <c r="S71" s="389"/>
      <c r="T71" s="382"/>
      <c r="U71" s="381"/>
      <c r="V71" s="796" t="s">
        <v>3103</v>
      </c>
      <c r="W71" s="796"/>
      <c r="X71" s="392"/>
      <c r="Y71" s="392" t="s">
        <v>2822</v>
      </c>
      <c r="Z71" s="392"/>
      <c r="AA71" s="392" t="s">
        <v>2823</v>
      </c>
      <c r="AB71" s="392"/>
      <c r="AC71" s="392" t="s">
        <v>2824</v>
      </c>
      <c r="AD71" s="379"/>
    </row>
    <row r="72" spans="1:32">
      <c r="A72" s="391"/>
      <c r="B72" s="375"/>
      <c r="C72" s="375"/>
      <c r="D72" s="375"/>
      <c r="E72" s="375"/>
      <c r="F72" s="375"/>
      <c r="G72" s="375"/>
      <c r="H72" s="390"/>
      <c r="I72" s="389"/>
      <c r="J72" s="389"/>
      <c r="K72" s="389"/>
      <c r="L72" s="389"/>
      <c r="M72" s="389"/>
      <c r="N72" s="389"/>
      <c r="O72" s="389"/>
      <c r="P72" s="389"/>
      <c r="Q72" s="389"/>
      <c r="R72" s="389"/>
      <c r="S72" s="389"/>
      <c r="T72" s="388"/>
      <c r="U72" s="387"/>
      <c r="V72" s="387"/>
      <c r="W72" s="387"/>
      <c r="X72" s="387"/>
      <c r="Y72" s="387"/>
      <c r="Z72" s="387"/>
      <c r="AA72" s="387"/>
      <c r="AB72" s="387"/>
      <c r="AC72" s="387"/>
      <c r="AD72" s="386"/>
    </row>
    <row r="73" spans="1:32">
      <c r="A73" s="385"/>
      <c r="B73" s="384"/>
      <c r="C73" s="384"/>
      <c r="D73" s="384"/>
      <c r="E73" s="384"/>
      <c r="F73" s="384"/>
      <c r="G73" s="384"/>
      <c r="H73" s="383"/>
      <c r="I73" s="380"/>
      <c r="J73" s="380"/>
      <c r="K73" s="380"/>
      <c r="L73" s="380"/>
      <c r="M73" s="380"/>
      <c r="N73" s="380"/>
      <c r="O73" s="380"/>
      <c r="P73" s="380"/>
      <c r="Q73" s="380"/>
      <c r="R73" s="380"/>
      <c r="S73" s="380"/>
      <c r="T73" s="382"/>
      <c r="U73" s="381"/>
      <c r="V73" s="380" t="s">
        <v>2831</v>
      </c>
      <c r="W73" s="825"/>
      <c r="X73" s="825"/>
      <c r="Y73" s="825"/>
      <c r="Z73" s="825"/>
      <c r="AA73" s="825"/>
      <c r="AB73" s="825"/>
      <c r="AC73" s="380" t="s">
        <v>2762</v>
      </c>
      <c r="AD73" s="379"/>
    </row>
    <row r="74" spans="1:32">
      <c r="A74" s="376" t="s">
        <v>3104</v>
      </c>
      <c r="B74" s="376"/>
      <c r="C74" s="376" t="s">
        <v>3105</v>
      </c>
      <c r="D74" s="376"/>
      <c r="E74" s="376"/>
      <c r="F74" s="376"/>
      <c r="G74" s="376"/>
      <c r="H74" s="376"/>
      <c r="I74" s="376"/>
      <c r="J74" s="376"/>
      <c r="K74" s="376"/>
      <c r="L74" s="376"/>
      <c r="M74" s="376"/>
      <c r="N74" s="376"/>
      <c r="O74" s="376"/>
      <c r="P74" s="376"/>
      <c r="Q74" s="376"/>
      <c r="R74" s="376"/>
      <c r="S74" s="375"/>
      <c r="T74" s="375"/>
      <c r="U74" s="375"/>
      <c r="V74" s="375"/>
      <c r="W74" s="375"/>
      <c r="X74" s="375"/>
      <c r="Y74" s="375"/>
      <c r="Z74" s="375"/>
      <c r="AA74" s="375"/>
      <c r="AB74" s="375"/>
      <c r="AC74" s="375"/>
      <c r="AD74" s="375"/>
    </row>
    <row r="75" spans="1:32">
      <c r="A75" s="376"/>
      <c r="B75" s="376"/>
      <c r="C75" s="378" t="s">
        <v>3106</v>
      </c>
      <c r="D75" s="376"/>
      <c r="E75" s="376"/>
      <c r="F75" s="376"/>
      <c r="G75" s="376"/>
      <c r="H75" s="376"/>
      <c r="I75" s="376"/>
      <c r="J75" s="376"/>
      <c r="K75" s="376"/>
      <c r="L75" s="376"/>
      <c r="M75" s="376"/>
      <c r="N75" s="376"/>
      <c r="O75" s="376"/>
      <c r="P75" s="376"/>
      <c r="Q75" s="376"/>
      <c r="R75" s="376"/>
      <c r="S75" s="375"/>
      <c r="T75" s="375"/>
      <c r="U75" s="375"/>
      <c r="V75" s="375"/>
      <c r="W75" s="375"/>
      <c r="X75" s="375"/>
      <c r="Y75" s="375"/>
      <c r="Z75" s="375"/>
      <c r="AA75" s="375"/>
      <c r="AB75" s="375"/>
      <c r="AC75" s="375"/>
      <c r="AD75" s="375"/>
    </row>
    <row r="76" spans="1:32">
      <c r="A76" s="376"/>
      <c r="B76" s="376"/>
      <c r="C76" s="378" t="s">
        <v>3107</v>
      </c>
      <c r="D76" s="376"/>
      <c r="E76" s="376"/>
      <c r="F76" s="376"/>
      <c r="G76" s="376"/>
      <c r="H76" s="376"/>
      <c r="I76" s="376"/>
      <c r="J76" s="376"/>
      <c r="K76" s="376"/>
      <c r="L76" s="376"/>
      <c r="M76" s="376"/>
      <c r="N76" s="376"/>
      <c r="O76" s="376"/>
      <c r="P76" s="376"/>
      <c r="Q76" s="376"/>
      <c r="R76" s="376"/>
      <c r="S76" s="375"/>
      <c r="T76" s="375"/>
      <c r="U76" s="375"/>
      <c r="V76" s="375"/>
      <c r="W76" s="375"/>
      <c r="X76" s="375"/>
      <c r="Y76" s="375"/>
      <c r="Z76" s="375"/>
      <c r="AA76" s="375"/>
      <c r="AB76" s="375"/>
      <c r="AC76" s="375"/>
      <c r="AD76" s="375"/>
    </row>
    <row r="77" spans="1:32">
      <c r="A77" s="375"/>
      <c r="B77" s="375"/>
      <c r="C77" s="376" t="s">
        <v>3108</v>
      </c>
      <c r="D77" s="376"/>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row>
    <row r="78" spans="1:32">
      <c r="A78" s="375"/>
      <c r="B78" s="375"/>
      <c r="D78" s="376"/>
      <c r="E78" s="375"/>
      <c r="F78" s="375"/>
      <c r="G78" s="375"/>
      <c r="H78" s="375"/>
      <c r="I78" s="375"/>
      <c r="J78" s="375"/>
      <c r="K78" s="375"/>
      <c r="L78" s="375"/>
      <c r="M78" s="375"/>
      <c r="N78" s="375"/>
      <c r="O78" s="375"/>
      <c r="P78" s="375"/>
      <c r="Q78" s="375"/>
      <c r="R78" s="375"/>
      <c r="S78" s="375"/>
      <c r="T78" s="375"/>
      <c r="U78" s="375"/>
      <c r="V78" s="375"/>
      <c r="W78" s="375"/>
      <c r="Y78" s="377"/>
      <c r="Z78" s="377"/>
      <c r="AA78" s="377"/>
      <c r="AB78" s="377"/>
      <c r="AC78" s="377"/>
      <c r="AD78" s="377"/>
      <c r="AE78" s="377"/>
      <c r="AF78" s="377"/>
    </row>
    <row r="79" spans="1:32">
      <c r="A79" s="375"/>
      <c r="B79" s="375"/>
      <c r="D79" s="376"/>
      <c r="E79" s="375"/>
      <c r="F79" s="375"/>
      <c r="P79" s="375"/>
      <c r="Y79" s="377"/>
      <c r="Z79" s="377"/>
      <c r="AA79" s="377"/>
      <c r="AB79" s="377"/>
      <c r="AC79" s="377"/>
      <c r="AD79" s="377"/>
      <c r="AE79" s="377"/>
      <c r="AF79" s="377"/>
    </row>
    <row r="80" spans="1:32">
      <c r="A80" s="375"/>
      <c r="B80" s="375"/>
      <c r="D80" s="375"/>
      <c r="E80" s="375"/>
      <c r="F80" s="375"/>
      <c r="P80" s="375"/>
      <c r="Y80" s="375"/>
      <c r="Z80" s="375"/>
      <c r="AA80" s="375"/>
      <c r="AB80" s="375"/>
      <c r="AC80" s="375"/>
      <c r="AD80" s="375"/>
      <c r="AE80" s="375"/>
      <c r="AF80" s="375"/>
    </row>
    <row r="81" spans="1:30">
      <c r="A81" s="375"/>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row>
    <row r="82" spans="1:30">
      <c r="A82" s="375"/>
      <c r="B82" s="375"/>
      <c r="C82" s="376" t="s">
        <v>2815</v>
      </c>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row>
    <row r="83" spans="1:30">
      <c r="A83" s="375"/>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row>
    <row r="84" spans="1:30">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row>
    <row r="85" spans="1:30">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row>
    <row r="86" spans="1:30">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row>
    <row r="87" spans="1:30">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row>
    <row r="88" spans="1:30">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row>
    <row r="89" spans="1:30">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row>
    <row r="90" spans="1:30">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row>
    <row r="91" spans="1:30">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row>
    <row r="92" spans="1:30">
      <c r="A92" s="375"/>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row>
    <row r="93" spans="1:30">
      <c r="A93" s="375"/>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row>
    <row r="94" spans="1:30">
      <c r="A94" s="375"/>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row>
    <row r="95" spans="1:30">
      <c r="A95" s="375"/>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row>
    <row r="96" spans="1:30">
      <c r="A96" s="375"/>
      <c r="B96" s="375"/>
      <c r="C96" s="375"/>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row>
    <row r="97" spans="1:30">
      <c r="A97" s="375"/>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row>
    <row r="98" spans="1:30">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row>
    <row r="99" spans="1:30">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row>
    <row r="100" spans="1:30">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row>
    <row r="101" spans="1:30">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row>
    <row r="102" spans="1:30">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row>
    <row r="103" spans="1:30">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row>
    <row r="104" spans="1:30">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row>
    <row r="105" spans="1:30">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row>
    <row r="106" spans="1:30">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row>
    <row r="107" spans="1:30">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row>
    <row r="108" spans="1:30">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row>
    <row r="109" spans="1:30">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row>
    <row r="110" spans="1:30">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row>
    <row r="111" spans="1:30">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row>
    <row r="112" spans="1:30">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row>
    <row r="113" spans="1:30">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row>
    <row r="114" spans="1:30">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row>
    <row r="115" spans="1:30">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row>
    <row r="116" spans="1:30">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row>
    <row r="117" spans="1:30">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row>
    <row r="118" spans="1:30">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row>
    <row r="119" spans="1:30">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row>
    <row r="120" spans="1:30">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row>
    <row r="121" spans="1:30">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row>
    <row r="122" spans="1:30">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row>
    <row r="123" spans="1:30">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row>
    <row r="124" spans="1:30">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row>
    <row r="125" spans="1:30">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row>
    <row r="126" spans="1:30">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row>
    <row r="127" spans="1:30">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row>
    <row r="128" spans="1:30">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row>
    <row r="129" spans="1:30">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row>
    <row r="130" spans="1:30">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row>
    <row r="131" spans="1:30">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row>
    <row r="132" spans="1:30">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row>
    <row r="133" spans="1:30">
      <c r="A133" s="375"/>
      <c r="B133" s="375"/>
      <c r="C133" s="375"/>
      <c r="D133" s="375"/>
      <c r="E133" s="375"/>
      <c r="F133" s="375"/>
      <c r="G133" s="375"/>
      <c r="H133" s="375"/>
      <c r="I133" s="375"/>
      <c r="J133" s="375"/>
      <c r="K133" s="375"/>
      <c r="L133" s="375"/>
      <c r="M133" s="375"/>
      <c r="N133" s="375"/>
      <c r="O133" s="375"/>
      <c r="Q133" s="375"/>
      <c r="R133" s="375"/>
      <c r="S133" s="375"/>
      <c r="T133" s="375"/>
      <c r="U133" s="375"/>
      <c r="V133" s="375"/>
      <c r="W133" s="375"/>
      <c r="X133" s="375"/>
      <c r="Y133" s="375"/>
      <c r="Z133" s="375"/>
      <c r="AA133" s="375"/>
      <c r="AB133" s="375"/>
      <c r="AC133" s="375"/>
      <c r="AD133" s="375"/>
    </row>
    <row r="134" spans="1:30">
      <c r="A134" s="375"/>
      <c r="B134" s="375"/>
      <c r="C134" s="375"/>
      <c r="D134" s="375"/>
      <c r="E134" s="375"/>
      <c r="F134" s="375"/>
      <c r="G134" s="375"/>
      <c r="H134" s="375"/>
      <c r="I134" s="375"/>
      <c r="J134" s="375"/>
      <c r="K134" s="375"/>
      <c r="L134" s="375"/>
      <c r="M134" s="375"/>
      <c r="N134" s="375"/>
      <c r="O134" s="375"/>
      <c r="Q134" s="375"/>
      <c r="R134" s="375"/>
      <c r="S134" s="375"/>
      <c r="T134" s="375"/>
      <c r="U134" s="375"/>
      <c r="V134" s="375"/>
      <c r="W134" s="375"/>
      <c r="X134" s="375"/>
      <c r="Y134" s="375"/>
      <c r="Z134" s="375"/>
      <c r="AA134" s="375"/>
      <c r="AB134" s="375"/>
      <c r="AC134" s="375"/>
      <c r="AD134" s="375"/>
    </row>
    <row r="135" spans="1:30">
      <c r="A135" s="375"/>
      <c r="B135" s="375"/>
      <c r="C135" s="375"/>
      <c r="D135" s="375"/>
      <c r="E135" s="375"/>
      <c r="F135" s="375"/>
      <c r="G135" s="375"/>
      <c r="H135" s="375"/>
      <c r="I135" s="375"/>
      <c r="J135" s="375"/>
      <c r="K135" s="375"/>
      <c r="L135" s="375"/>
      <c r="M135" s="375"/>
      <c r="N135" s="375"/>
      <c r="O135" s="375"/>
      <c r="Q135" s="375"/>
      <c r="R135" s="375"/>
      <c r="S135" s="375"/>
      <c r="T135" s="375"/>
      <c r="U135" s="375"/>
      <c r="V135" s="375"/>
      <c r="W135" s="375"/>
      <c r="X135" s="375"/>
      <c r="Y135" s="375"/>
      <c r="Z135" s="375"/>
      <c r="AA135" s="375"/>
      <c r="AB135" s="375"/>
      <c r="AC135" s="375"/>
      <c r="AD135" s="375"/>
    </row>
    <row r="136" spans="1:30">
      <c r="A136" s="375"/>
      <c r="B136" s="375"/>
      <c r="C136" s="375"/>
      <c r="D136" s="375"/>
      <c r="E136" s="375"/>
      <c r="F136" s="375"/>
      <c r="G136" s="375"/>
      <c r="H136" s="375"/>
      <c r="I136" s="375"/>
      <c r="J136" s="375"/>
      <c r="K136" s="375"/>
      <c r="L136" s="375"/>
      <c r="M136" s="375"/>
      <c r="N136" s="375"/>
      <c r="O136" s="375"/>
      <c r="Q136" s="375"/>
      <c r="R136" s="375"/>
      <c r="S136" s="375"/>
      <c r="T136" s="375"/>
      <c r="U136" s="375"/>
      <c r="V136" s="375"/>
      <c r="W136" s="375"/>
      <c r="X136" s="375"/>
      <c r="Y136" s="375"/>
      <c r="Z136" s="375"/>
      <c r="AA136" s="375"/>
      <c r="AB136" s="375"/>
      <c r="AC136" s="375"/>
      <c r="AD136" s="375"/>
    </row>
    <row r="137" spans="1:30">
      <c r="A137" s="375"/>
      <c r="B137" s="375"/>
      <c r="C137" s="375"/>
      <c r="D137" s="375"/>
      <c r="E137" s="375"/>
      <c r="F137" s="375"/>
      <c r="G137" s="375"/>
      <c r="H137" s="375"/>
      <c r="I137" s="375"/>
      <c r="J137" s="375"/>
      <c r="K137" s="375"/>
      <c r="L137" s="375"/>
      <c r="M137" s="375"/>
      <c r="N137" s="375"/>
      <c r="O137" s="375"/>
      <c r="Q137" s="375"/>
      <c r="R137" s="375"/>
      <c r="S137" s="375"/>
      <c r="T137" s="375"/>
      <c r="U137" s="375"/>
      <c r="V137" s="375"/>
      <c r="W137" s="375"/>
      <c r="X137" s="375"/>
      <c r="Y137" s="375"/>
      <c r="Z137" s="375"/>
      <c r="AA137" s="375"/>
      <c r="AB137" s="375"/>
      <c r="AC137" s="375"/>
      <c r="AD137" s="375"/>
    </row>
    <row r="138" spans="1:30">
      <c r="A138" s="375"/>
      <c r="B138" s="375"/>
      <c r="C138" s="375"/>
      <c r="D138" s="375"/>
      <c r="E138" s="375"/>
      <c r="F138" s="375"/>
      <c r="G138" s="375"/>
      <c r="H138" s="375"/>
      <c r="I138" s="375"/>
      <c r="J138" s="375"/>
      <c r="K138" s="375"/>
      <c r="L138" s="375"/>
      <c r="M138" s="375"/>
      <c r="N138" s="375"/>
      <c r="O138" s="375"/>
      <c r="Q138" s="375"/>
      <c r="R138" s="375"/>
      <c r="S138" s="375"/>
      <c r="T138" s="375"/>
      <c r="U138" s="375"/>
      <c r="V138" s="375"/>
      <c r="W138" s="375"/>
      <c r="X138" s="375"/>
      <c r="Y138" s="375"/>
      <c r="Z138" s="375"/>
      <c r="AA138" s="375"/>
      <c r="AB138" s="375"/>
      <c r="AC138" s="375"/>
      <c r="AD138" s="375"/>
    </row>
    <row r="139" spans="1:30">
      <c r="A139" s="375"/>
      <c r="B139" s="375"/>
      <c r="C139" s="375"/>
      <c r="D139" s="375"/>
      <c r="E139" s="375"/>
      <c r="F139" s="375"/>
      <c r="G139" s="375"/>
      <c r="H139" s="375"/>
      <c r="I139" s="375"/>
      <c r="J139" s="375"/>
      <c r="K139" s="375"/>
      <c r="L139" s="375"/>
      <c r="M139" s="375"/>
      <c r="N139" s="375"/>
      <c r="O139" s="375"/>
      <c r="Q139" s="375"/>
      <c r="R139" s="375"/>
      <c r="S139" s="375"/>
      <c r="T139" s="375"/>
      <c r="U139" s="375"/>
      <c r="V139" s="375"/>
      <c r="W139" s="375"/>
      <c r="X139" s="375"/>
      <c r="Y139" s="375"/>
      <c r="Z139" s="375"/>
      <c r="AA139" s="375"/>
      <c r="AB139" s="375"/>
      <c r="AC139" s="375"/>
      <c r="AD139" s="375"/>
    </row>
    <row r="140" spans="1:30">
      <c r="A140" s="375"/>
      <c r="B140" s="375"/>
      <c r="C140" s="375"/>
      <c r="D140" s="375"/>
      <c r="E140" s="375"/>
      <c r="F140" s="375"/>
      <c r="G140" s="375"/>
      <c r="H140" s="375"/>
      <c r="I140" s="375"/>
      <c r="J140" s="375"/>
      <c r="K140" s="375"/>
      <c r="L140" s="375"/>
      <c r="M140" s="375"/>
      <c r="N140" s="375"/>
      <c r="O140" s="375"/>
      <c r="Q140" s="375"/>
      <c r="R140" s="375"/>
      <c r="S140" s="375"/>
      <c r="T140" s="375"/>
      <c r="U140" s="375"/>
      <c r="V140" s="375"/>
      <c r="W140" s="375"/>
      <c r="X140" s="375"/>
      <c r="Y140" s="375"/>
      <c r="Z140" s="375"/>
      <c r="AA140" s="375"/>
      <c r="AB140" s="375"/>
      <c r="AC140" s="375"/>
      <c r="AD140" s="375"/>
    </row>
    <row r="141" spans="1:30">
      <c r="A141" s="375"/>
      <c r="B141" s="375"/>
      <c r="C141" s="375"/>
      <c r="D141" s="375"/>
      <c r="E141" s="375"/>
      <c r="F141" s="375"/>
      <c r="G141" s="375"/>
      <c r="H141" s="375"/>
      <c r="I141" s="375"/>
      <c r="J141" s="375"/>
      <c r="K141" s="375"/>
      <c r="L141" s="375"/>
      <c r="M141" s="375"/>
      <c r="N141" s="375"/>
      <c r="O141" s="375"/>
      <c r="Q141" s="375"/>
      <c r="R141" s="375"/>
      <c r="S141" s="375"/>
      <c r="T141" s="375"/>
      <c r="U141" s="375"/>
      <c r="V141" s="375"/>
      <c r="W141" s="375"/>
      <c r="X141" s="375"/>
      <c r="Y141" s="375"/>
      <c r="Z141" s="375"/>
      <c r="AA141" s="375"/>
      <c r="AB141" s="375"/>
      <c r="AC141" s="375"/>
      <c r="AD141" s="375"/>
    </row>
    <row r="142" spans="1:30">
      <c r="A142" s="375"/>
      <c r="B142" s="375"/>
      <c r="C142" s="375"/>
      <c r="D142" s="375"/>
      <c r="E142" s="375"/>
      <c r="F142" s="375"/>
      <c r="G142" s="375"/>
      <c r="H142" s="375"/>
      <c r="I142" s="375"/>
      <c r="J142" s="375"/>
      <c r="K142" s="375"/>
      <c r="L142" s="375"/>
      <c r="M142" s="375"/>
      <c r="N142" s="375"/>
      <c r="O142" s="375"/>
      <c r="Q142" s="375"/>
      <c r="R142" s="375"/>
      <c r="S142" s="375"/>
      <c r="T142" s="375"/>
      <c r="U142" s="375"/>
      <c r="V142" s="375"/>
      <c r="W142" s="375"/>
      <c r="X142" s="375"/>
      <c r="Y142" s="375"/>
      <c r="Z142" s="375"/>
      <c r="AA142" s="375"/>
      <c r="AB142" s="375"/>
      <c r="AC142" s="375"/>
      <c r="AD142" s="375"/>
    </row>
    <row r="143" spans="1:30">
      <c r="A143" s="375"/>
      <c r="B143" s="375"/>
      <c r="C143" s="375"/>
      <c r="D143" s="375"/>
      <c r="E143" s="375"/>
      <c r="F143" s="375"/>
      <c r="G143" s="375"/>
      <c r="H143" s="375"/>
      <c r="I143" s="375"/>
      <c r="J143" s="375"/>
      <c r="K143" s="375"/>
      <c r="L143" s="375"/>
      <c r="M143" s="375"/>
      <c r="N143" s="375"/>
      <c r="O143" s="375"/>
      <c r="Q143" s="375"/>
      <c r="R143" s="375"/>
      <c r="S143" s="375"/>
      <c r="T143" s="375"/>
      <c r="U143" s="375"/>
      <c r="V143" s="375"/>
      <c r="W143" s="375"/>
      <c r="X143" s="375"/>
      <c r="Y143" s="375"/>
      <c r="Z143" s="375"/>
      <c r="AA143" s="375"/>
      <c r="AB143" s="375"/>
      <c r="AC143" s="375"/>
      <c r="AD143" s="375"/>
    </row>
    <row r="144" spans="1:30">
      <c r="A144" s="375"/>
      <c r="B144" s="375"/>
      <c r="C144" s="375"/>
      <c r="D144" s="375"/>
      <c r="E144" s="375"/>
      <c r="F144" s="375"/>
      <c r="G144" s="375"/>
      <c r="H144" s="375"/>
      <c r="I144" s="375"/>
      <c r="J144" s="375"/>
      <c r="K144" s="375"/>
      <c r="L144" s="375"/>
      <c r="M144" s="375"/>
      <c r="N144" s="375"/>
      <c r="O144" s="375"/>
      <c r="Q144" s="375"/>
      <c r="R144" s="375"/>
      <c r="S144" s="375"/>
      <c r="T144" s="375"/>
      <c r="U144" s="375"/>
      <c r="V144" s="375"/>
      <c r="W144" s="375"/>
      <c r="X144" s="375"/>
      <c r="Y144" s="375"/>
      <c r="Z144" s="375"/>
      <c r="AA144" s="375"/>
      <c r="AB144" s="375"/>
      <c r="AC144" s="375"/>
      <c r="AD144" s="375"/>
    </row>
    <row r="145" spans="1:30">
      <c r="A145" s="375"/>
      <c r="B145" s="375"/>
      <c r="C145" s="375"/>
      <c r="D145" s="375"/>
      <c r="E145" s="375"/>
      <c r="F145" s="375"/>
      <c r="G145" s="375"/>
      <c r="H145" s="375"/>
      <c r="I145" s="375"/>
      <c r="J145" s="375"/>
      <c r="K145" s="375"/>
      <c r="L145" s="375"/>
      <c r="M145" s="375"/>
      <c r="N145" s="375"/>
      <c r="O145" s="375"/>
      <c r="Q145" s="375"/>
      <c r="R145" s="375"/>
      <c r="S145" s="375"/>
      <c r="T145" s="375"/>
      <c r="U145" s="375"/>
      <c r="V145" s="375"/>
      <c r="W145" s="375"/>
      <c r="X145" s="375"/>
      <c r="Y145" s="375"/>
      <c r="Z145" s="375"/>
      <c r="AA145" s="375"/>
      <c r="AB145" s="375"/>
      <c r="AC145" s="375"/>
      <c r="AD145" s="375"/>
    </row>
    <row r="146" spans="1:30">
      <c r="A146" s="375"/>
      <c r="B146" s="375"/>
      <c r="C146" s="375"/>
      <c r="D146" s="375"/>
      <c r="E146" s="375"/>
      <c r="F146" s="375"/>
      <c r="G146" s="375"/>
      <c r="H146" s="375"/>
      <c r="I146" s="375"/>
      <c r="J146" s="375"/>
      <c r="K146" s="375"/>
      <c r="L146" s="375"/>
      <c r="M146" s="375"/>
      <c r="N146" s="375"/>
      <c r="O146" s="375"/>
      <c r="Q146" s="375"/>
      <c r="R146" s="375"/>
      <c r="S146" s="375"/>
      <c r="T146" s="375"/>
      <c r="U146" s="375"/>
      <c r="V146" s="375"/>
      <c r="W146" s="375"/>
      <c r="X146" s="375"/>
      <c r="Y146" s="375"/>
      <c r="Z146" s="375"/>
      <c r="AA146" s="375"/>
      <c r="AB146" s="375"/>
      <c r="AC146" s="375"/>
      <c r="AD146" s="375"/>
    </row>
    <row r="147" spans="1:30">
      <c r="A147" s="375"/>
      <c r="B147" s="375"/>
      <c r="C147" s="375"/>
      <c r="D147" s="375"/>
      <c r="E147" s="375"/>
      <c r="F147" s="375"/>
      <c r="G147" s="375"/>
      <c r="H147" s="375"/>
      <c r="I147" s="375"/>
      <c r="J147" s="375"/>
      <c r="K147" s="375"/>
      <c r="L147" s="375"/>
      <c r="M147" s="375"/>
      <c r="N147" s="375"/>
      <c r="O147" s="375"/>
      <c r="Q147" s="375"/>
      <c r="R147" s="375"/>
      <c r="S147" s="375"/>
      <c r="T147" s="375"/>
      <c r="U147" s="375"/>
      <c r="V147" s="375"/>
      <c r="W147" s="375"/>
      <c r="X147" s="375"/>
      <c r="Y147" s="375"/>
      <c r="Z147" s="375"/>
      <c r="AA147" s="375"/>
      <c r="AB147" s="375"/>
      <c r="AC147" s="375"/>
      <c r="AD147" s="375"/>
    </row>
  </sheetData>
  <mergeCells count="75">
    <mergeCell ref="A35:H35"/>
    <mergeCell ref="A40:H40"/>
    <mergeCell ref="A41:H41"/>
    <mergeCell ref="A39:H39"/>
    <mergeCell ref="T69:AD69"/>
    <mergeCell ref="A60:H60"/>
    <mergeCell ref="A44:H44"/>
    <mergeCell ref="A64:H64"/>
    <mergeCell ref="A66:H66"/>
    <mergeCell ref="J60:N60"/>
    <mergeCell ref="J61:N61"/>
    <mergeCell ref="A61:H61"/>
    <mergeCell ref="A38:H38"/>
    <mergeCell ref="A37:H37"/>
    <mergeCell ref="A58:H58"/>
    <mergeCell ref="J59:N59"/>
    <mergeCell ref="W73:AB73"/>
    <mergeCell ref="V71:W71"/>
    <mergeCell ref="A69:H69"/>
    <mergeCell ref="I69:S69"/>
    <mergeCell ref="A67:H67"/>
    <mergeCell ref="I46:AD46"/>
    <mergeCell ref="I49:AD50"/>
    <mergeCell ref="A43:H43"/>
    <mergeCell ref="A46:H46"/>
    <mergeCell ref="A50:H50"/>
    <mergeCell ref="A49:H49"/>
    <mergeCell ref="J58:N58"/>
    <mergeCell ref="X41:AB41"/>
    <mergeCell ref="A42:H42"/>
    <mergeCell ref="A28:H28"/>
    <mergeCell ref="J28:AC28"/>
    <mergeCell ref="J29:AB29"/>
    <mergeCell ref="A31:H31"/>
    <mergeCell ref="X31:AB31"/>
    <mergeCell ref="X32:AB32"/>
    <mergeCell ref="J41:K41"/>
    <mergeCell ref="M41:N41"/>
    <mergeCell ref="R41:S41"/>
    <mergeCell ref="P31:S31"/>
    <mergeCell ref="Q32:R32"/>
    <mergeCell ref="A53:H53"/>
    <mergeCell ref="A55:H55"/>
    <mergeCell ref="A27:H27"/>
    <mergeCell ref="N17:U17"/>
    <mergeCell ref="N16:AB16"/>
    <mergeCell ref="S32:W32"/>
    <mergeCell ref="AI61:AP61"/>
    <mergeCell ref="V60:W60"/>
    <mergeCell ref="V61:W61"/>
    <mergeCell ref="Q42:R42"/>
    <mergeCell ref="J42:K42"/>
    <mergeCell ref="S42:W42"/>
    <mergeCell ref="L55:M55"/>
    <mergeCell ref="M53:P53"/>
    <mergeCell ref="Q53:U53"/>
    <mergeCell ref="A32:H32"/>
    <mergeCell ref="M31:N31"/>
    <mergeCell ref="J32:K32"/>
    <mergeCell ref="V7:W7"/>
    <mergeCell ref="V58:W58"/>
    <mergeCell ref="V59:W59"/>
    <mergeCell ref="J38:AC38"/>
    <mergeCell ref="J39:AB39"/>
    <mergeCell ref="L11:N11"/>
    <mergeCell ref="J37:M37"/>
    <mergeCell ref="O13:R13"/>
    <mergeCell ref="A9:L9"/>
    <mergeCell ref="D21:L21"/>
    <mergeCell ref="D19:O19"/>
    <mergeCell ref="O14:AC14"/>
    <mergeCell ref="A30:H30"/>
    <mergeCell ref="J27:M27"/>
    <mergeCell ref="A29:H29"/>
    <mergeCell ref="J31:K31"/>
  </mergeCells>
  <phoneticPr fontId="7"/>
  <dataValidations count="4">
    <dataValidation type="list" allowBlank="1" showInputMessage="1" showErrorMessage="1" sqref="M53:P53 JI53:JL53 TE53:TH53 ADA53:ADD53 AMW53:AMZ53 AWS53:AWV53 BGO53:BGR53 BQK53:BQN53 CAG53:CAJ53 CKC53:CKF53 CTY53:CUB53 DDU53:DDX53 DNQ53:DNT53 DXM53:DXP53 EHI53:EHL53 ERE53:ERH53 FBA53:FBD53 FKW53:FKZ53 FUS53:FUV53 GEO53:GER53 GOK53:GON53 GYG53:GYJ53 HIC53:HIF53 HRY53:HSB53 IBU53:IBX53 ILQ53:ILT53 IVM53:IVP53 JFI53:JFL53 JPE53:JPH53 JZA53:JZD53 KIW53:KIZ53 KSS53:KSV53 LCO53:LCR53 LMK53:LMN53 LWG53:LWJ53 MGC53:MGF53 MPY53:MQB53 MZU53:MZX53 NJQ53:NJT53 NTM53:NTP53 ODI53:ODL53 ONE53:ONH53 OXA53:OXD53 PGW53:PGZ53 PQS53:PQV53 QAO53:QAR53 QKK53:QKN53 QUG53:QUJ53 REC53:REF53 RNY53:ROB53 RXU53:RXX53 SHQ53:SHT53 SRM53:SRP53 TBI53:TBL53 TLE53:TLH53 TVA53:TVD53 UEW53:UEZ53 UOS53:UOV53 UYO53:UYR53 VIK53:VIN53 VSG53:VSJ53 WCC53:WCF53 WLY53:WMB53 WVU53:WVX53 M65589:P65589 JI65589:JL65589 TE65589:TH65589 ADA65589:ADD65589 AMW65589:AMZ65589 AWS65589:AWV65589 BGO65589:BGR65589 BQK65589:BQN65589 CAG65589:CAJ65589 CKC65589:CKF65589 CTY65589:CUB65589 DDU65589:DDX65589 DNQ65589:DNT65589 DXM65589:DXP65589 EHI65589:EHL65589 ERE65589:ERH65589 FBA65589:FBD65589 FKW65589:FKZ65589 FUS65589:FUV65589 GEO65589:GER65589 GOK65589:GON65589 GYG65589:GYJ65589 HIC65589:HIF65589 HRY65589:HSB65589 IBU65589:IBX65589 ILQ65589:ILT65589 IVM65589:IVP65589 JFI65589:JFL65589 JPE65589:JPH65589 JZA65589:JZD65589 KIW65589:KIZ65589 KSS65589:KSV65589 LCO65589:LCR65589 LMK65589:LMN65589 LWG65589:LWJ65589 MGC65589:MGF65589 MPY65589:MQB65589 MZU65589:MZX65589 NJQ65589:NJT65589 NTM65589:NTP65589 ODI65589:ODL65589 ONE65589:ONH65589 OXA65589:OXD65589 PGW65589:PGZ65589 PQS65589:PQV65589 QAO65589:QAR65589 QKK65589:QKN65589 QUG65589:QUJ65589 REC65589:REF65589 RNY65589:ROB65589 RXU65589:RXX65589 SHQ65589:SHT65589 SRM65589:SRP65589 TBI65589:TBL65589 TLE65589:TLH65589 TVA65589:TVD65589 UEW65589:UEZ65589 UOS65589:UOV65589 UYO65589:UYR65589 VIK65589:VIN65589 VSG65589:VSJ65589 WCC65589:WCF65589 WLY65589:WMB65589 WVU65589:WVX65589 M131125:P131125 JI131125:JL131125 TE131125:TH131125 ADA131125:ADD131125 AMW131125:AMZ131125 AWS131125:AWV131125 BGO131125:BGR131125 BQK131125:BQN131125 CAG131125:CAJ131125 CKC131125:CKF131125 CTY131125:CUB131125 DDU131125:DDX131125 DNQ131125:DNT131125 DXM131125:DXP131125 EHI131125:EHL131125 ERE131125:ERH131125 FBA131125:FBD131125 FKW131125:FKZ131125 FUS131125:FUV131125 GEO131125:GER131125 GOK131125:GON131125 GYG131125:GYJ131125 HIC131125:HIF131125 HRY131125:HSB131125 IBU131125:IBX131125 ILQ131125:ILT131125 IVM131125:IVP131125 JFI131125:JFL131125 JPE131125:JPH131125 JZA131125:JZD131125 KIW131125:KIZ131125 KSS131125:KSV131125 LCO131125:LCR131125 LMK131125:LMN131125 LWG131125:LWJ131125 MGC131125:MGF131125 MPY131125:MQB131125 MZU131125:MZX131125 NJQ131125:NJT131125 NTM131125:NTP131125 ODI131125:ODL131125 ONE131125:ONH131125 OXA131125:OXD131125 PGW131125:PGZ131125 PQS131125:PQV131125 QAO131125:QAR131125 QKK131125:QKN131125 QUG131125:QUJ131125 REC131125:REF131125 RNY131125:ROB131125 RXU131125:RXX131125 SHQ131125:SHT131125 SRM131125:SRP131125 TBI131125:TBL131125 TLE131125:TLH131125 TVA131125:TVD131125 UEW131125:UEZ131125 UOS131125:UOV131125 UYO131125:UYR131125 VIK131125:VIN131125 VSG131125:VSJ131125 WCC131125:WCF131125 WLY131125:WMB131125 WVU131125:WVX131125 M196661:P196661 JI196661:JL196661 TE196661:TH196661 ADA196661:ADD196661 AMW196661:AMZ196661 AWS196661:AWV196661 BGO196661:BGR196661 BQK196661:BQN196661 CAG196661:CAJ196661 CKC196661:CKF196661 CTY196661:CUB196661 DDU196661:DDX196661 DNQ196661:DNT196661 DXM196661:DXP196661 EHI196661:EHL196661 ERE196661:ERH196661 FBA196661:FBD196661 FKW196661:FKZ196661 FUS196661:FUV196661 GEO196661:GER196661 GOK196661:GON196661 GYG196661:GYJ196661 HIC196661:HIF196661 HRY196661:HSB196661 IBU196661:IBX196661 ILQ196661:ILT196661 IVM196661:IVP196661 JFI196661:JFL196661 JPE196661:JPH196661 JZA196661:JZD196661 KIW196661:KIZ196661 KSS196661:KSV196661 LCO196661:LCR196661 LMK196661:LMN196661 LWG196661:LWJ196661 MGC196661:MGF196661 MPY196661:MQB196661 MZU196661:MZX196661 NJQ196661:NJT196661 NTM196661:NTP196661 ODI196661:ODL196661 ONE196661:ONH196661 OXA196661:OXD196661 PGW196661:PGZ196661 PQS196661:PQV196661 QAO196661:QAR196661 QKK196661:QKN196661 QUG196661:QUJ196661 REC196661:REF196661 RNY196661:ROB196661 RXU196661:RXX196661 SHQ196661:SHT196661 SRM196661:SRP196661 TBI196661:TBL196661 TLE196661:TLH196661 TVA196661:TVD196661 UEW196661:UEZ196661 UOS196661:UOV196661 UYO196661:UYR196661 VIK196661:VIN196661 VSG196661:VSJ196661 WCC196661:WCF196661 WLY196661:WMB196661 WVU196661:WVX196661 M262197:P262197 JI262197:JL262197 TE262197:TH262197 ADA262197:ADD262197 AMW262197:AMZ262197 AWS262197:AWV262197 BGO262197:BGR262197 BQK262197:BQN262197 CAG262197:CAJ262197 CKC262197:CKF262197 CTY262197:CUB262197 DDU262197:DDX262197 DNQ262197:DNT262197 DXM262197:DXP262197 EHI262197:EHL262197 ERE262197:ERH262197 FBA262197:FBD262197 FKW262197:FKZ262197 FUS262197:FUV262197 GEO262197:GER262197 GOK262197:GON262197 GYG262197:GYJ262197 HIC262197:HIF262197 HRY262197:HSB262197 IBU262197:IBX262197 ILQ262197:ILT262197 IVM262197:IVP262197 JFI262197:JFL262197 JPE262197:JPH262197 JZA262197:JZD262197 KIW262197:KIZ262197 KSS262197:KSV262197 LCO262197:LCR262197 LMK262197:LMN262197 LWG262197:LWJ262197 MGC262197:MGF262197 MPY262197:MQB262197 MZU262197:MZX262197 NJQ262197:NJT262197 NTM262197:NTP262197 ODI262197:ODL262197 ONE262197:ONH262197 OXA262197:OXD262197 PGW262197:PGZ262197 PQS262197:PQV262197 QAO262197:QAR262197 QKK262197:QKN262197 QUG262197:QUJ262197 REC262197:REF262197 RNY262197:ROB262197 RXU262197:RXX262197 SHQ262197:SHT262197 SRM262197:SRP262197 TBI262197:TBL262197 TLE262197:TLH262197 TVA262197:TVD262197 UEW262197:UEZ262197 UOS262197:UOV262197 UYO262197:UYR262197 VIK262197:VIN262197 VSG262197:VSJ262197 WCC262197:WCF262197 WLY262197:WMB262197 WVU262197:WVX262197 M327733:P327733 JI327733:JL327733 TE327733:TH327733 ADA327733:ADD327733 AMW327733:AMZ327733 AWS327733:AWV327733 BGO327733:BGR327733 BQK327733:BQN327733 CAG327733:CAJ327733 CKC327733:CKF327733 CTY327733:CUB327733 DDU327733:DDX327733 DNQ327733:DNT327733 DXM327733:DXP327733 EHI327733:EHL327733 ERE327733:ERH327733 FBA327733:FBD327733 FKW327733:FKZ327733 FUS327733:FUV327733 GEO327733:GER327733 GOK327733:GON327733 GYG327733:GYJ327733 HIC327733:HIF327733 HRY327733:HSB327733 IBU327733:IBX327733 ILQ327733:ILT327733 IVM327733:IVP327733 JFI327733:JFL327733 JPE327733:JPH327733 JZA327733:JZD327733 KIW327733:KIZ327733 KSS327733:KSV327733 LCO327733:LCR327733 LMK327733:LMN327733 LWG327733:LWJ327733 MGC327733:MGF327733 MPY327733:MQB327733 MZU327733:MZX327733 NJQ327733:NJT327733 NTM327733:NTP327733 ODI327733:ODL327733 ONE327733:ONH327733 OXA327733:OXD327733 PGW327733:PGZ327733 PQS327733:PQV327733 QAO327733:QAR327733 QKK327733:QKN327733 QUG327733:QUJ327733 REC327733:REF327733 RNY327733:ROB327733 RXU327733:RXX327733 SHQ327733:SHT327733 SRM327733:SRP327733 TBI327733:TBL327733 TLE327733:TLH327733 TVA327733:TVD327733 UEW327733:UEZ327733 UOS327733:UOV327733 UYO327733:UYR327733 VIK327733:VIN327733 VSG327733:VSJ327733 WCC327733:WCF327733 WLY327733:WMB327733 WVU327733:WVX327733 M393269:P393269 JI393269:JL393269 TE393269:TH393269 ADA393269:ADD393269 AMW393269:AMZ393269 AWS393269:AWV393269 BGO393269:BGR393269 BQK393269:BQN393269 CAG393269:CAJ393269 CKC393269:CKF393269 CTY393269:CUB393269 DDU393269:DDX393269 DNQ393269:DNT393269 DXM393269:DXP393269 EHI393269:EHL393269 ERE393269:ERH393269 FBA393269:FBD393269 FKW393269:FKZ393269 FUS393269:FUV393269 GEO393269:GER393269 GOK393269:GON393269 GYG393269:GYJ393269 HIC393269:HIF393269 HRY393269:HSB393269 IBU393269:IBX393269 ILQ393269:ILT393269 IVM393269:IVP393269 JFI393269:JFL393269 JPE393269:JPH393269 JZA393269:JZD393269 KIW393269:KIZ393269 KSS393269:KSV393269 LCO393269:LCR393269 LMK393269:LMN393269 LWG393269:LWJ393269 MGC393269:MGF393269 MPY393269:MQB393269 MZU393269:MZX393269 NJQ393269:NJT393269 NTM393269:NTP393269 ODI393269:ODL393269 ONE393269:ONH393269 OXA393269:OXD393269 PGW393269:PGZ393269 PQS393269:PQV393269 QAO393269:QAR393269 QKK393269:QKN393269 QUG393269:QUJ393269 REC393269:REF393269 RNY393269:ROB393269 RXU393269:RXX393269 SHQ393269:SHT393269 SRM393269:SRP393269 TBI393269:TBL393269 TLE393269:TLH393269 TVA393269:TVD393269 UEW393269:UEZ393269 UOS393269:UOV393269 UYO393269:UYR393269 VIK393269:VIN393269 VSG393269:VSJ393269 WCC393269:WCF393269 WLY393269:WMB393269 WVU393269:WVX393269 M458805:P458805 JI458805:JL458805 TE458805:TH458805 ADA458805:ADD458805 AMW458805:AMZ458805 AWS458805:AWV458805 BGO458805:BGR458805 BQK458805:BQN458805 CAG458805:CAJ458805 CKC458805:CKF458805 CTY458805:CUB458805 DDU458805:DDX458805 DNQ458805:DNT458805 DXM458805:DXP458805 EHI458805:EHL458805 ERE458805:ERH458805 FBA458805:FBD458805 FKW458805:FKZ458805 FUS458805:FUV458805 GEO458805:GER458805 GOK458805:GON458805 GYG458805:GYJ458805 HIC458805:HIF458805 HRY458805:HSB458805 IBU458805:IBX458805 ILQ458805:ILT458805 IVM458805:IVP458805 JFI458805:JFL458805 JPE458805:JPH458805 JZA458805:JZD458805 KIW458805:KIZ458805 KSS458805:KSV458805 LCO458805:LCR458805 LMK458805:LMN458805 LWG458805:LWJ458805 MGC458805:MGF458805 MPY458805:MQB458805 MZU458805:MZX458805 NJQ458805:NJT458805 NTM458805:NTP458805 ODI458805:ODL458805 ONE458805:ONH458805 OXA458805:OXD458805 PGW458805:PGZ458805 PQS458805:PQV458805 QAO458805:QAR458805 QKK458805:QKN458805 QUG458805:QUJ458805 REC458805:REF458805 RNY458805:ROB458805 RXU458805:RXX458805 SHQ458805:SHT458805 SRM458805:SRP458805 TBI458805:TBL458805 TLE458805:TLH458805 TVA458805:TVD458805 UEW458805:UEZ458805 UOS458805:UOV458805 UYO458805:UYR458805 VIK458805:VIN458805 VSG458805:VSJ458805 WCC458805:WCF458805 WLY458805:WMB458805 WVU458805:WVX458805 M524341:P524341 JI524341:JL524341 TE524341:TH524341 ADA524341:ADD524341 AMW524341:AMZ524341 AWS524341:AWV524341 BGO524341:BGR524341 BQK524341:BQN524341 CAG524341:CAJ524341 CKC524341:CKF524341 CTY524341:CUB524341 DDU524341:DDX524341 DNQ524341:DNT524341 DXM524341:DXP524341 EHI524341:EHL524341 ERE524341:ERH524341 FBA524341:FBD524341 FKW524341:FKZ524341 FUS524341:FUV524341 GEO524341:GER524341 GOK524341:GON524341 GYG524341:GYJ524341 HIC524341:HIF524341 HRY524341:HSB524341 IBU524341:IBX524341 ILQ524341:ILT524341 IVM524341:IVP524341 JFI524341:JFL524341 JPE524341:JPH524341 JZA524341:JZD524341 KIW524341:KIZ524341 KSS524341:KSV524341 LCO524341:LCR524341 LMK524341:LMN524341 LWG524341:LWJ524341 MGC524341:MGF524341 MPY524341:MQB524341 MZU524341:MZX524341 NJQ524341:NJT524341 NTM524341:NTP524341 ODI524341:ODL524341 ONE524341:ONH524341 OXA524341:OXD524341 PGW524341:PGZ524341 PQS524341:PQV524341 QAO524341:QAR524341 QKK524341:QKN524341 QUG524341:QUJ524341 REC524341:REF524341 RNY524341:ROB524341 RXU524341:RXX524341 SHQ524341:SHT524341 SRM524341:SRP524341 TBI524341:TBL524341 TLE524341:TLH524341 TVA524341:TVD524341 UEW524341:UEZ524341 UOS524341:UOV524341 UYO524341:UYR524341 VIK524341:VIN524341 VSG524341:VSJ524341 WCC524341:WCF524341 WLY524341:WMB524341 WVU524341:WVX524341 M589877:P589877 JI589877:JL589877 TE589877:TH589877 ADA589877:ADD589877 AMW589877:AMZ589877 AWS589877:AWV589877 BGO589877:BGR589877 BQK589877:BQN589877 CAG589877:CAJ589877 CKC589877:CKF589877 CTY589877:CUB589877 DDU589877:DDX589877 DNQ589877:DNT589877 DXM589877:DXP589877 EHI589877:EHL589877 ERE589877:ERH589877 FBA589877:FBD589877 FKW589877:FKZ589877 FUS589877:FUV589877 GEO589877:GER589877 GOK589877:GON589877 GYG589877:GYJ589877 HIC589877:HIF589877 HRY589877:HSB589877 IBU589877:IBX589877 ILQ589877:ILT589877 IVM589877:IVP589877 JFI589877:JFL589877 JPE589877:JPH589877 JZA589877:JZD589877 KIW589877:KIZ589877 KSS589877:KSV589877 LCO589877:LCR589877 LMK589877:LMN589877 LWG589877:LWJ589877 MGC589877:MGF589877 MPY589877:MQB589877 MZU589877:MZX589877 NJQ589877:NJT589877 NTM589877:NTP589877 ODI589877:ODL589877 ONE589877:ONH589877 OXA589877:OXD589877 PGW589877:PGZ589877 PQS589877:PQV589877 QAO589877:QAR589877 QKK589877:QKN589877 QUG589877:QUJ589877 REC589877:REF589877 RNY589877:ROB589877 RXU589877:RXX589877 SHQ589877:SHT589877 SRM589877:SRP589877 TBI589877:TBL589877 TLE589877:TLH589877 TVA589877:TVD589877 UEW589877:UEZ589877 UOS589877:UOV589877 UYO589877:UYR589877 VIK589877:VIN589877 VSG589877:VSJ589877 WCC589877:WCF589877 WLY589877:WMB589877 WVU589877:WVX589877 M655413:P655413 JI655413:JL655413 TE655413:TH655413 ADA655413:ADD655413 AMW655413:AMZ655413 AWS655413:AWV655413 BGO655413:BGR655413 BQK655413:BQN655413 CAG655413:CAJ655413 CKC655413:CKF655413 CTY655413:CUB655413 DDU655413:DDX655413 DNQ655413:DNT655413 DXM655413:DXP655413 EHI655413:EHL655413 ERE655413:ERH655413 FBA655413:FBD655413 FKW655413:FKZ655413 FUS655413:FUV655413 GEO655413:GER655413 GOK655413:GON655413 GYG655413:GYJ655413 HIC655413:HIF655413 HRY655413:HSB655413 IBU655413:IBX655413 ILQ655413:ILT655413 IVM655413:IVP655413 JFI655413:JFL655413 JPE655413:JPH655413 JZA655413:JZD655413 KIW655413:KIZ655413 KSS655413:KSV655413 LCO655413:LCR655413 LMK655413:LMN655413 LWG655413:LWJ655413 MGC655413:MGF655413 MPY655413:MQB655413 MZU655413:MZX655413 NJQ655413:NJT655413 NTM655413:NTP655413 ODI655413:ODL655413 ONE655413:ONH655413 OXA655413:OXD655413 PGW655413:PGZ655413 PQS655413:PQV655413 QAO655413:QAR655413 QKK655413:QKN655413 QUG655413:QUJ655413 REC655413:REF655413 RNY655413:ROB655413 RXU655413:RXX655413 SHQ655413:SHT655413 SRM655413:SRP655413 TBI655413:TBL655413 TLE655413:TLH655413 TVA655413:TVD655413 UEW655413:UEZ655413 UOS655413:UOV655413 UYO655413:UYR655413 VIK655413:VIN655413 VSG655413:VSJ655413 WCC655413:WCF655413 WLY655413:WMB655413 WVU655413:WVX655413 M720949:P720949 JI720949:JL720949 TE720949:TH720949 ADA720949:ADD720949 AMW720949:AMZ720949 AWS720949:AWV720949 BGO720949:BGR720949 BQK720949:BQN720949 CAG720949:CAJ720949 CKC720949:CKF720949 CTY720949:CUB720949 DDU720949:DDX720949 DNQ720949:DNT720949 DXM720949:DXP720949 EHI720949:EHL720949 ERE720949:ERH720949 FBA720949:FBD720949 FKW720949:FKZ720949 FUS720949:FUV720949 GEO720949:GER720949 GOK720949:GON720949 GYG720949:GYJ720949 HIC720949:HIF720949 HRY720949:HSB720949 IBU720949:IBX720949 ILQ720949:ILT720949 IVM720949:IVP720949 JFI720949:JFL720949 JPE720949:JPH720949 JZA720949:JZD720949 KIW720949:KIZ720949 KSS720949:KSV720949 LCO720949:LCR720949 LMK720949:LMN720949 LWG720949:LWJ720949 MGC720949:MGF720949 MPY720949:MQB720949 MZU720949:MZX720949 NJQ720949:NJT720949 NTM720949:NTP720949 ODI720949:ODL720949 ONE720949:ONH720949 OXA720949:OXD720949 PGW720949:PGZ720949 PQS720949:PQV720949 QAO720949:QAR720949 QKK720949:QKN720949 QUG720949:QUJ720949 REC720949:REF720949 RNY720949:ROB720949 RXU720949:RXX720949 SHQ720949:SHT720949 SRM720949:SRP720949 TBI720949:TBL720949 TLE720949:TLH720949 TVA720949:TVD720949 UEW720949:UEZ720949 UOS720949:UOV720949 UYO720949:UYR720949 VIK720949:VIN720949 VSG720949:VSJ720949 WCC720949:WCF720949 WLY720949:WMB720949 WVU720949:WVX720949 M786485:P786485 JI786485:JL786485 TE786485:TH786485 ADA786485:ADD786485 AMW786485:AMZ786485 AWS786485:AWV786485 BGO786485:BGR786485 BQK786485:BQN786485 CAG786485:CAJ786485 CKC786485:CKF786485 CTY786485:CUB786485 DDU786485:DDX786485 DNQ786485:DNT786485 DXM786485:DXP786485 EHI786485:EHL786485 ERE786485:ERH786485 FBA786485:FBD786485 FKW786485:FKZ786485 FUS786485:FUV786485 GEO786485:GER786485 GOK786485:GON786485 GYG786485:GYJ786485 HIC786485:HIF786485 HRY786485:HSB786485 IBU786485:IBX786485 ILQ786485:ILT786485 IVM786485:IVP786485 JFI786485:JFL786485 JPE786485:JPH786485 JZA786485:JZD786485 KIW786485:KIZ786485 KSS786485:KSV786485 LCO786485:LCR786485 LMK786485:LMN786485 LWG786485:LWJ786485 MGC786485:MGF786485 MPY786485:MQB786485 MZU786485:MZX786485 NJQ786485:NJT786485 NTM786485:NTP786485 ODI786485:ODL786485 ONE786485:ONH786485 OXA786485:OXD786485 PGW786485:PGZ786485 PQS786485:PQV786485 QAO786485:QAR786485 QKK786485:QKN786485 QUG786485:QUJ786485 REC786485:REF786485 RNY786485:ROB786485 RXU786485:RXX786485 SHQ786485:SHT786485 SRM786485:SRP786485 TBI786485:TBL786485 TLE786485:TLH786485 TVA786485:TVD786485 UEW786485:UEZ786485 UOS786485:UOV786485 UYO786485:UYR786485 VIK786485:VIN786485 VSG786485:VSJ786485 WCC786485:WCF786485 WLY786485:WMB786485 WVU786485:WVX786485 M852021:P852021 JI852021:JL852021 TE852021:TH852021 ADA852021:ADD852021 AMW852021:AMZ852021 AWS852021:AWV852021 BGO852021:BGR852021 BQK852021:BQN852021 CAG852021:CAJ852021 CKC852021:CKF852021 CTY852021:CUB852021 DDU852021:DDX852021 DNQ852021:DNT852021 DXM852021:DXP852021 EHI852021:EHL852021 ERE852021:ERH852021 FBA852021:FBD852021 FKW852021:FKZ852021 FUS852021:FUV852021 GEO852021:GER852021 GOK852021:GON852021 GYG852021:GYJ852021 HIC852021:HIF852021 HRY852021:HSB852021 IBU852021:IBX852021 ILQ852021:ILT852021 IVM852021:IVP852021 JFI852021:JFL852021 JPE852021:JPH852021 JZA852021:JZD852021 KIW852021:KIZ852021 KSS852021:KSV852021 LCO852021:LCR852021 LMK852021:LMN852021 LWG852021:LWJ852021 MGC852021:MGF852021 MPY852021:MQB852021 MZU852021:MZX852021 NJQ852021:NJT852021 NTM852021:NTP852021 ODI852021:ODL852021 ONE852021:ONH852021 OXA852021:OXD852021 PGW852021:PGZ852021 PQS852021:PQV852021 QAO852021:QAR852021 QKK852021:QKN852021 QUG852021:QUJ852021 REC852021:REF852021 RNY852021:ROB852021 RXU852021:RXX852021 SHQ852021:SHT852021 SRM852021:SRP852021 TBI852021:TBL852021 TLE852021:TLH852021 TVA852021:TVD852021 UEW852021:UEZ852021 UOS852021:UOV852021 UYO852021:UYR852021 VIK852021:VIN852021 VSG852021:VSJ852021 WCC852021:WCF852021 WLY852021:WMB852021 WVU852021:WVX852021 M917557:P917557 JI917557:JL917557 TE917557:TH917557 ADA917557:ADD917557 AMW917557:AMZ917557 AWS917557:AWV917557 BGO917557:BGR917557 BQK917557:BQN917557 CAG917557:CAJ917557 CKC917557:CKF917557 CTY917557:CUB917557 DDU917557:DDX917557 DNQ917557:DNT917557 DXM917557:DXP917557 EHI917557:EHL917557 ERE917557:ERH917557 FBA917557:FBD917557 FKW917557:FKZ917557 FUS917557:FUV917557 GEO917557:GER917557 GOK917557:GON917557 GYG917557:GYJ917557 HIC917557:HIF917557 HRY917557:HSB917557 IBU917557:IBX917557 ILQ917557:ILT917557 IVM917557:IVP917557 JFI917557:JFL917557 JPE917557:JPH917557 JZA917557:JZD917557 KIW917557:KIZ917557 KSS917557:KSV917557 LCO917557:LCR917557 LMK917557:LMN917557 LWG917557:LWJ917557 MGC917557:MGF917557 MPY917557:MQB917557 MZU917557:MZX917557 NJQ917557:NJT917557 NTM917557:NTP917557 ODI917557:ODL917557 ONE917557:ONH917557 OXA917557:OXD917557 PGW917557:PGZ917557 PQS917557:PQV917557 QAO917557:QAR917557 QKK917557:QKN917557 QUG917557:QUJ917557 REC917557:REF917557 RNY917557:ROB917557 RXU917557:RXX917557 SHQ917557:SHT917557 SRM917557:SRP917557 TBI917557:TBL917557 TLE917557:TLH917557 TVA917557:TVD917557 UEW917557:UEZ917557 UOS917557:UOV917557 UYO917557:UYR917557 VIK917557:VIN917557 VSG917557:VSJ917557 WCC917557:WCF917557 WLY917557:WMB917557 WVU917557:WVX917557 M983093:P983093 JI983093:JL983093 TE983093:TH983093 ADA983093:ADD983093 AMW983093:AMZ983093 AWS983093:AWV983093 BGO983093:BGR983093 BQK983093:BQN983093 CAG983093:CAJ983093 CKC983093:CKF983093 CTY983093:CUB983093 DDU983093:DDX983093 DNQ983093:DNT983093 DXM983093:DXP983093 EHI983093:EHL983093 ERE983093:ERH983093 FBA983093:FBD983093 FKW983093:FKZ983093 FUS983093:FUV983093 GEO983093:GER983093 GOK983093:GON983093 GYG983093:GYJ983093 HIC983093:HIF983093 HRY983093:HSB983093 IBU983093:IBX983093 ILQ983093:ILT983093 IVM983093:IVP983093 JFI983093:JFL983093 JPE983093:JPH983093 JZA983093:JZD983093 KIW983093:KIZ983093 KSS983093:KSV983093 LCO983093:LCR983093 LMK983093:LMN983093 LWG983093:LWJ983093 MGC983093:MGF983093 MPY983093:MQB983093 MZU983093:MZX983093 NJQ983093:NJT983093 NTM983093:NTP983093 ODI983093:ODL983093 ONE983093:ONH983093 OXA983093:OXD983093 PGW983093:PGZ983093 PQS983093:PQV983093 QAO983093:QAR983093 QKK983093:QKN983093 QUG983093:QUJ983093 REC983093:REF983093 RNY983093:ROB983093 RXU983093:RXX983093 SHQ983093:SHT983093 SRM983093:SRP983093 TBI983093:TBL983093 TLE983093:TLH983093 TVA983093:TVD983093 UEW983093:UEZ983093 UOS983093:UOV983093 UYO983093:UYR983093 VIK983093:VIN983093 VSG983093:VSJ983093 WCC983093:WCF983093 WLY983093:WMB983093 WVU983093:WVX983093" xr:uid="{CE3577A2-A3AB-4DF6-B07E-C4DFBBBB1F81}">
      <formula1>$AG$53:$AG$58</formula1>
    </dataValidation>
    <dataValidation type="list" allowBlank="1" showInputMessage="1" showErrorMessage="1" sqref="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xr:uid="{4BAACC6F-DCF2-473C-A851-C15AC4F1C953}">
      <formula1>$AH$20:$AH$25</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xr:uid="{AA8E84BD-0AD5-440B-ACA4-64992B699FA6}">
      <formula1>$AH$23:$AH$24</formula1>
    </dataValidation>
    <dataValidation type="list" allowBlank="1" showInputMessage="1" showErrorMessage="1" sqref="D19:O19 IZ19:JK19 SV19:TG19 ACR19:ADC19 AMN19:AMY19 AWJ19:AWU19 BGF19:BGQ19 BQB19:BQM19 BZX19:CAI19 CJT19:CKE19 CTP19:CUA19 DDL19:DDW19 DNH19:DNS19 DXD19:DXO19 EGZ19:EHK19 EQV19:ERG19 FAR19:FBC19 FKN19:FKY19 FUJ19:FUU19 GEF19:GEQ19 GOB19:GOM19 GXX19:GYI19 HHT19:HIE19 HRP19:HSA19 IBL19:IBW19 ILH19:ILS19 IVD19:IVO19 JEZ19:JFK19 JOV19:JPG19 JYR19:JZC19 KIN19:KIY19 KSJ19:KSU19 LCF19:LCQ19 LMB19:LMM19 LVX19:LWI19 MFT19:MGE19 MPP19:MQA19 MZL19:MZW19 NJH19:NJS19 NTD19:NTO19 OCZ19:ODK19 OMV19:ONG19 OWR19:OXC19 PGN19:PGY19 PQJ19:PQU19 QAF19:QAQ19 QKB19:QKM19 QTX19:QUI19 RDT19:REE19 RNP19:ROA19 RXL19:RXW19 SHH19:SHS19 SRD19:SRO19 TAZ19:TBK19 TKV19:TLG19 TUR19:TVC19 UEN19:UEY19 UOJ19:UOU19 UYF19:UYQ19 VIB19:VIM19 VRX19:VSI19 WBT19:WCE19 WLP19:WMA19 WVL19:WVW19 D65555:O65555 IZ65555:JK65555 SV65555:TG65555 ACR65555:ADC65555 AMN65555:AMY65555 AWJ65555:AWU65555 BGF65555:BGQ65555 BQB65555:BQM65555 BZX65555:CAI65555 CJT65555:CKE65555 CTP65555:CUA65555 DDL65555:DDW65555 DNH65555:DNS65555 DXD65555:DXO65555 EGZ65555:EHK65555 EQV65555:ERG65555 FAR65555:FBC65555 FKN65555:FKY65555 FUJ65555:FUU65555 GEF65555:GEQ65555 GOB65555:GOM65555 GXX65555:GYI65555 HHT65555:HIE65555 HRP65555:HSA65555 IBL65555:IBW65555 ILH65555:ILS65555 IVD65555:IVO65555 JEZ65555:JFK65555 JOV65555:JPG65555 JYR65555:JZC65555 KIN65555:KIY65555 KSJ65555:KSU65555 LCF65555:LCQ65555 LMB65555:LMM65555 LVX65555:LWI65555 MFT65555:MGE65555 MPP65555:MQA65555 MZL65555:MZW65555 NJH65555:NJS65555 NTD65555:NTO65555 OCZ65555:ODK65555 OMV65555:ONG65555 OWR65555:OXC65555 PGN65555:PGY65555 PQJ65555:PQU65555 QAF65555:QAQ65555 QKB65555:QKM65555 QTX65555:QUI65555 RDT65555:REE65555 RNP65555:ROA65555 RXL65555:RXW65555 SHH65555:SHS65555 SRD65555:SRO65555 TAZ65555:TBK65555 TKV65555:TLG65555 TUR65555:TVC65555 UEN65555:UEY65555 UOJ65555:UOU65555 UYF65555:UYQ65555 VIB65555:VIM65555 VRX65555:VSI65555 WBT65555:WCE65555 WLP65555:WMA65555 WVL65555:WVW65555 D131091:O131091 IZ131091:JK131091 SV131091:TG131091 ACR131091:ADC131091 AMN131091:AMY131091 AWJ131091:AWU131091 BGF131091:BGQ131091 BQB131091:BQM131091 BZX131091:CAI131091 CJT131091:CKE131091 CTP131091:CUA131091 DDL131091:DDW131091 DNH131091:DNS131091 DXD131091:DXO131091 EGZ131091:EHK131091 EQV131091:ERG131091 FAR131091:FBC131091 FKN131091:FKY131091 FUJ131091:FUU131091 GEF131091:GEQ131091 GOB131091:GOM131091 GXX131091:GYI131091 HHT131091:HIE131091 HRP131091:HSA131091 IBL131091:IBW131091 ILH131091:ILS131091 IVD131091:IVO131091 JEZ131091:JFK131091 JOV131091:JPG131091 JYR131091:JZC131091 KIN131091:KIY131091 KSJ131091:KSU131091 LCF131091:LCQ131091 LMB131091:LMM131091 LVX131091:LWI131091 MFT131091:MGE131091 MPP131091:MQA131091 MZL131091:MZW131091 NJH131091:NJS131091 NTD131091:NTO131091 OCZ131091:ODK131091 OMV131091:ONG131091 OWR131091:OXC131091 PGN131091:PGY131091 PQJ131091:PQU131091 QAF131091:QAQ131091 QKB131091:QKM131091 QTX131091:QUI131091 RDT131091:REE131091 RNP131091:ROA131091 RXL131091:RXW131091 SHH131091:SHS131091 SRD131091:SRO131091 TAZ131091:TBK131091 TKV131091:TLG131091 TUR131091:TVC131091 UEN131091:UEY131091 UOJ131091:UOU131091 UYF131091:UYQ131091 VIB131091:VIM131091 VRX131091:VSI131091 WBT131091:WCE131091 WLP131091:WMA131091 WVL131091:WVW131091 D196627:O196627 IZ196627:JK196627 SV196627:TG196627 ACR196627:ADC196627 AMN196627:AMY196627 AWJ196627:AWU196627 BGF196627:BGQ196627 BQB196627:BQM196627 BZX196627:CAI196627 CJT196627:CKE196627 CTP196627:CUA196627 DDL196627:DDW196627 DNH196627:DNS196627 DXD196627:DXO196627 EGZ196627:EHK196627 EQV196627:ERG196627 FAR196627:FBC196627 FKN196627:FKY196627 FUJ196627:FUU196627 GEF196627:GEQ196627 GOB196627:GOM196627 GXX196627:GYI196627 HHT196627:HIE196627 HRP196627:HSA196627 IBL196627:IBW196627 ILH196627:ILS196627 IVD196627:IVO196627 JEZ196627:JFK196627 JOV196627:JPG196627 JYR196627:JZC196627 KIN196627:KIY196627 KSJ196627:KSU196627 LCF196627:LCQ196627 LMB196627:LMM196627 LVX196627:LWI196627 MFT196627:MGE196627 MPP196627:MQA196627 MZL196627:MZW196627 NJH196627:NJS196627 NTD196627:NTO196627 OCZ196627:ODK196627 OMV196627:ONG196627 OWR196627:OXC196627 PGN196627:PGY196627 PQJ196627:PQU196627 QAF196627:QAQ196627 QKB196627:QKM196627 QTX196627:QUI196627 RDT196627:REE196627 RNP196627:ROA196627 RXL196627:RXW196627 SHH196627:SHS196627 SRD196627:SRO196627 TAZ196627:TBK196627 TKV196627:TLG196627 TUR196627:TVC196627 UEN196627:UEY196627 UOJ196627:UOU196627 UYF196627:UYQ196627 VIB196627:VIM196627 VRX196627:VSI196627 WBT196627:WCE196627 WLP196627:WMA196627 WVL196627:WVW196627 D262163:O262163 IZ262163:JK262163 SV262163:TG262163 ACR262163:ADC262163 AMN262163:AMY262163 AWJ262163:AWU262163 BGF262163:BGQ262163 BQB262163:BQM262163 BZX262163:CAI262163 CJT262163:CKE262163 CTP262163:CUA262163 DDL262163:DDW262163 DNH262163:DNS262163 DXD262163:DXO262163 EGZ262163:EHK262163 EQV262163:ERG262163 FAR262163:FBC262163 FKN262163:FKY262163 FUJ262163:FUU262163 GEF262163:GEQ262163 GOB262163:GOM262163 GXX262163:GYI262163 HHT262163:HIE262163 HRP262163:HSA262163 IBL262163:IBW262163 ILH262163:ILS262163 IVD262163:IVO262163 JEZ262163:JFK262163 JOV262163:JPG262163 JYR262163:JZC262163 KIN262163:KIY262163 KSJ262163:KSU262163 LCF262163:LCQ262163 LMB262163:LMM262163 LVX262163:LWI262163 MFT262163:MGE262163 MPP262163:MQA262163 MZL262163:MZW262163 NJH262163:NJS262163 NTD262163:NTO262163 OCZ262163:ODK262163 OMV262163:ONG262163 OWR262163:OXC262163 PGN262163:PGY262163 PQJ262163:PQU262163 QAF262163:QAQ262163 QKB262163:QKM262163 QTX262163:QUI262163 RDT262163:REE262163 RNP262163:ROA262163 RXL262163:RXW262163 SHH262163:SHS262163 SRD262163:SRO262163 TAZ262163:TBK262163 TKV262163:TLG262163 TUR262163:TVC262163 UEN262163:UEY262163 UOJ262163:UOU262163 UYF262163:UYQ262163 VIB262163:VIM262163 VRX262163:VSI262163 WBT262163:WCE262163 WLP262163:WMA262163 WVL262163:WVW262163 D327699:O327699 IZ327699:JK327699 SV327699:TG327699 ACR327699:ADC327699 AMN327699:AMY327699 AWJ327699:AWU327699 BGF327699:BGQ327699 BQB327699:BQM327699 BZX327699:CAI327699 CJT327699:CKE327699 CTP327699:CUA327699 DDL327699:DDW327699 DNH327699:DNS327699 DXD327699:DXO327699 EGZ327699:EHK327699 EQV327699:ERG327699 FAR327699:FBC327699 FKN327699:FKY327699 FUJ327699:FUU327699 GEF327699:GEQ327699 GOB327699:GOM327699 GXX327699:GYI327699 HHT327699:HIE327699 HRP327699:HSA327699 IBL327699:IBW327699 ILH327699:ILS327699 IVD327699:IVO327699 JEZ327699:JFK327699 JOV327699:JPG327699 JYR327699:JZC327699 KIN327699:KIY327699 KSJ327699:KSU327699 LCF327699:LCQ327699 LMB327699:LMM327699 LVX327699:LWI327699 MFT327699:MGE327699 MPP327699:MQA327699 MZL327699:MZW327699 NJH327699:NJS327699 NTD327699:NTO327699 OCZ327699:ODK327699 OMV327699:ONG327699 OWR327699:OXC327699 PGN327699:PGY327699 PQJ327699:PQU327699 QAF327699:QAQ327699 QKB327699:QKM327699 QTX327699:QUI327699 RDT327699:REE327699 RNP327699:ROA327699 RXL327699:RXW327699 SHH327699:SHS327699 SRD327699:SRO327699 TAZ327699:TBK327699 TKV327699:TLG327699 TUR327699:TVC327699 UEN327699:UEY327699 UOJ327699:UOU327699 UYF327699:UYQ327699 VIB327699:VIM327699 VRX327699:VSI327699 WBT327699:WCE327699 WLP327699:WMA327699 WVL327699:WVW327699 D393235:O393235 IZ393235:JK393235 SV393235:TG393235 ACR393235:ADC393235 AMN393235:AMY393235 AWJ393235:AWU393235 BGF393235:BGQ393235 BQB393235:BQM393235 BZX393235:CAI393235 CJT393235:CKE393235 CTP393235:CUA393235 DDL393235:DDW393235 DNH393235:DNS393235 DXD393235:DXO393235 EGZ393235:EHK393235 EQV393235:ERG393235 FAR393235:FBC393235 FKN393235:FKY393235 FUJ393235:FUU393235 GEF393235:GEQ393235 GOB393235:GOM393235 GXX393235:GYI393235 HHT393235:HIE393235 HRP393235:HSA393235 IBL393235:IBW393235 ILH393235:ILS393235 IVD393235:IVO393235 JEZ393235:JFK393235 JOV393235:JPG393235 JYR393235:JZC393235 KIN393235:KIY393235 KSJ393235:KSU393235 LCF393235:LCQ393235 LMB393235:LMM393235 LVX393235:LWI393235 MFT393235:MGE393235 MPP393235:MQA393235 MZL393235:MZW393235 NJH393235:NJS393235 NTD393235:NTO393235 OCZ393235:ODK393235 OMV393235:ONG393235 OWR393235:OXC393235 PGN393235:PGY393235 PQJ393235:PQU393235 QAF393235:QAQ393235 QKB393235:QKM393235 QTX393235:QUI393235 RDT393235:REE393235 RNP393235:ROA393235 RXL393235:RXW393235 SHH393235:SHS393235 SRD393235:SRO393235 TAZ393235:TBK393235 TKV393235:TLG393235 TUR393235:TVC393235 UEN393235:UEY393235 UOJ393235:UOU393235 UYF393235:UYQ393235 VIB393235:VIM393235 VRX393235:VSI393235 WBT393235:WCE393235 WLP393235:WMA393235 WVL393235:WVW393235 D458771:O458771 IZ458771:JK458771 SV458771:TG458771 ACR458771:ADC458771 AMN458771:AMY458771 AWJ458771:AWU458771 BGF458771:BGQ458771 BQB458771:BQM458771 BZX458771:CAI458771 CJT458771:CKE458771 CTP458771:CUA458771 DDL458771:DDW458771 DNH458771:DNS458771 DXD458771:DXO458771 EGZ458771:EHK458771 EQV458771:ERG458771 FAR458771:FBC458771 FKN458771:FKY458771 FUJ458771:FUU458771 GEF458771:GEQ458771 GOB458771:GOM458771 GXX458771:GYI458771 HHT458771:HIE458771 HRP458771:HSA458771 IBL458771:IBW458771 ILH458771:ILS458771 IVD458771:IVO458771 JEZ458771:JFK458771 JOV458771:JPG458771 JYR458771:JZC458771 KIN458771:KIY458771 KSJ458771:KSU458771 LCF458771:LCQ458771 LMB458771:LMM458771 LVX458771:LWI458771 MFT458771:MGE458771 MPP458771:MQA458771 MZL458771:MZW458771 NJH458771:NJS458771 NTD458771:NTO458771 OCZ458771:ODK458771 OMV458771:ONG458771 OWR458771:OXC458771 PGN458771:PGY458771 PQJ458771:PQU458771 QAF458771:QAQ458771 QKB458771:QKM458771 QTX458771:QUI458771 RDT458771:REE458771 RNP458771:ROA458771 RXL458771:RXW458771 SHH458771:SHS458771 SRD458771:SRO458771 TAZ458771:TBK458771 TKV458771:TLG458771 TUR458771:TVC458771 UEN458771:UEY458771 UOJ458771:UOU458771 UYF458771:UYQ458771 VIB458771:VIM458771 VRX458771:VSI458771 WBT458771:WCE458771 WLP458771:WMA458771 WVL458771:WVW458771 D524307:O524307 IZ524307:JK524307 SV524307:TG524307 ACR524307:ADC524307 AMN524307:AMY524307 AWJ524307:AWU524307 BGF524307:BGQ524307 BQB524307:BQM524307 BZX524307:CAI524307 CJT524307:CKE524307 CTP524307:CUA524307 DDL524307:DDW524307 DNH524307:DNS524307 DXD524307:DXO524307 EGZ524307:EHK524307 EQV524307:ERG524307 FAR524307:FBC524307 FKN524307:FKY524307 FUJ524307:FUU524307 GEF524307:GEQ524307 GOB524307:GOM524307 GXX524307:GYI524307 HHT524307:HIE524307 HRP524307:HSA524307 IBL524307:IBW524307 ILH524307:ILS524307 IVD524307:IVO524307 JEZ524307:JFK524307 JOV524307:JPG524307 JYR524307:JZC524307 KIN524307:KIY524307 KSJ524307:KSU524307 LCF524307:LCQ524307 LMB524307:LMM524307 LVX524307:LWI524307 MFT524307:MGE524307 MPP524307:MQA524307 MZL524307:MZW524307 NJH524307:NJS524307 NTD524307:NTO524307 OCZ524307:ODK524307 OMV524307:ONG524307 OWR524307:OXC524307 PGN524307:PGY524307 PQJ524307:PQU524307 QAF524307:QAQ524307 QKB524307:QKM524307 QTX524307:QUI524307 RDT524307:REE524307 RNP524307:ROA524307 RXL524307:RXW524307 SHH524307:SHS524307 SRD524307:SRO524307 TAZ524307:TBK524307 TKV524307:TLG524307 TUR524307:TVC524307 UEN524307:UEY524307 UOJ524307:UOU524307 UYF524307:UYQ524307 VIB524307:VIM524307 VRX524307:VSI524307 WBT524307:WCE524307 WLP524307:WMA524307 WVL524307:WVW524307 D589843:O589843 IZ589843:JK589843 SV589843:TG589843 ACR589843:ADC589843 AMN589843:AMY589843 AWJ589843:AWU589843 BGF589843:BGQ589843 BQB589843:BQM589843 BZX589843:CAI589843 CJT589843:CKE589843 CTP589843:CUA589843 DDL589843:DDW589843 DNH589843:DNS589843 DXD589843:DXO589843 EGZ589843:EHK589843 EQV589843:ERG589843 FAR589843:FBC589843 FKN589843:FKY589843 FUJ589843:FUU589843 GEF589843:GEQ589843 GOB589843:GOM589843 GXX589843:GYI589843 HHT589843:HIE589843 HRP589843:HSA589843 IBL589843:IBW589843 ILH589843:ILS589843 IVD589843:IVO589843 JEZ589843:JFK589843 JOV589843:JPG589843 JYR589843:JZC589843 KIN589843:KIY589843 KSJ589843:KSU589843 LCF589843:LCQ589843 LMB589843:LMM589843 LVX589843:LWI589843 MFT589843:MGE589843 MPP589843:MQA589843 MZL589843:MZW589843 NJH589843:NJS589843 NTD589843:NTO589843 OCZ589843:ODK589843 OMV589843:ONG589843 OWR589843:OXC589843 PGN589843:PGY589843 PQJ589843:PQU589843 QAF589843:QAQ589843 QKB589843:QKM589843 QTX589843:QUI589843 RDT589843:REE589843 RNP589843:ROA589843 RXL589843:RXW589843 SHH589843:SHS589843 SRD589843:SRO589843 TAZ589843:TBK589843 TKV589843:TLG589843 TUR589843:TVC589843 UEN589843:UEY589843 UOJ589843:UOU589843 UYF589843:UYQ589843 VIB589843:VIM589843 VRX589843:VSI589843 WBT589843:WCE589843 WLP589843:WMA589843 WVL589843:WVW589843 D655379:O655379 IZ655379:JK655379 SV655379:TG655379 ACR655379:ADC655379 AMN655379:AMY655379 AWJ655379:AWU655379 BGF655379:BGQ655379 BQB655379:BQM655379 BZX655379:CAI655379 CJT655379:CKE655379 CTP655379:CUA655379 DDL655379:DDW655379 DNH655379:DNS655379 DXD655379:DXO655379 EGZ655379:EHK655379 EQV655379:ERG655379 FAR655379:FBC655379 FKN655379:FKY655379 FUJ655379:FUU655379 GEF655379:GEQ655379 GOB655379:GOM655379 GXX655379:GYI655379 HHT655379:HIE655379 HRP655379:HSA655379 IBL655379:IBW655379 ILH655379:ILS655379 IVD655379:IVO655379 JEZ655379:JFK655379 JOV655379:JPG655379 JYR655379:JZC655379 KIN655379:KIY655379 KSJ655379:KSU655379 LCF655379:LCQ655379 LMB655379:LMM655379 LVX655379:LWI655379 MFT655379:MGE655379 MPP655379:MQA655379 MZL655379:MZW655379 NJH655379:NJS655379 NTD655379:NTO655379 OCZ655379:ODK655379 OMV655379:ONG655379 OWR655379:OXC655379 PGN655379:PGY655379 PQJ655379:PQU655379 QAF655379:QAQ655379 QKB655379:QKM655379 QTX655379:QUI655379 RDT655379:REE655379 RNP655379:ROA655379 RXL655379:RXW655379 SHH655379:SHS655379 SRD655379:SRO655379 TAZ655379:TBK655379 TKV655379:TLG655379 TUR655379:TVC655379 UEN655379:UEY655379 UOJ655379:UOU655379 UYF655379:UYQ655379 VIB655379:VIM655379 VRX655379:VSI655379 WBT655379:WCE655379 WLP655379:WMA655379 WVL655379:WVW655379 D720915:O720915 IZ720915:JK720915 SV720915:TG720915 ACR720915:ADC720915 AMN720915:AMY720915 AWJ720915:AWU720915 BGF720915:BGQ720915 BQB720915:BQM720915 BZX720915:CAI720915 CJT720915:CKE720915 CTP720915:CUA720915 DDL720915:DDW720915 DNH720915:DNS720915 DXD720915:DXO720915 EGZ720915:EHK720915 EQV720915:ERG720915 FAR720915:FBC720915 FKN720915:FKY720915 FUJ720915:FUU720915 GEF720915:GEQ720915 GOB720915:GOM720915 GXX720915:GYI720915 HHT720915:HIE720915 HRP720915:HSA720915 IBL720915:IBW720915 ILH720915:ILS720915 IVD720915:IVO720915 JEZ720915:JFK720915 JOV720915:JPG720915 JYR720915:JZC720915 KIN720915:KIY720915 KSJ720915:KSU720915 LCF720915:LCQ720915 LMB720915:LMM720915 LVX720915:LWI720915 MFT720915:MGE720915 MPP720915:MQA720915 MZL720915:MZW720915 NJH720915:NJS720915 NTD720915:NTO720915 OCZ720915:ODK720915 OMV720915:ONG720915 OWR720915:OXC720915 PGN720915:PGY720915 PQJ720915:PQU720915 QAF720915:QAQ720915 QKB720915:QKM720915 QTX720915:QUI720915 RDT720915:REE720915 RNP720915:ROA720915 RXL720915:RXW720915 SHH720915:SHS720915 SRD720915:SRO720915 TAZ720915:TBK720915 TKV720915:TLG720915 TUR720915:TVC720915 UEN720915:UEY720915 UOJ720915:UOU720915 UYF720915:UYQ720915 VIB720915:VIM720915 VRX720915:VSI720915 WBT720915:WCE720915 WLP720915:WMA720915 WVL720915:WVW720915 D786451:O786451 IZ786451:JK786451 SV786451:TG786451 ACR786451:ADC786451 AMN786451:AMY786451 AWJ786451:AWU786451 BGF786451:BGQ786451 BQB786451:BQM786451 BZX786451:CAI786451 CJT786451:CKE786451 CTP786451:CUA786451 DDL786451:DDW786451 DNH786451:DNS786451 DXD786451:DXO786451 EGZ786451:EHK786451 EQV786451:ERG786451 FAR786451:FBC786451 FKN786451:FKY786451 FUJ786451:FUU786451 GEF786451:GEQ786451 GOB786451:GOM786451 GXX786451:GYI786451 HHT786451:HIE786451 HRP786451:HSA786451 IBL786451:IBW786451 ILH786451:ILS786451 IVD786451:IVO786451 JEZ786451:JFK786451 JOV786451:JPG786451 JYR786451:JZC786451 KIN786451:KIY786451 KSJ786451:KSU786451 LCF786451:LCQ786451 LMB786451:LMM786451 LVX786451:LWI786451 MFT786451:MGE786451 MPP786451:MQA786451 MZL786451:MZW786451 NJH786451:NJS786451 NTD786451:NTO786451 OCZ786451:ODK786451 OMV786451:ONG786451 OWR786451:OXC786451 PGN786451:PGY786451 PQJ786451:PQU786451 QAF786451:QAQ786451 QKB786451:QKM786451 QTX786451:QUI786451 RDT786451:REE786451 RNP786451:ROA786451 RXL786451:RXW786451 SHH786451:SHS786451 SRD786451:SRO786451 TAZ786451:TBK786451 TKV786451:TLG786451 TUR786451:TVC786451 UEN786451:UEY786451 UOJ786451:UOU786451 UYF786451:UYQ786451 VIB786451:VIM786451 VRX786451:VSI786451 WBT786451:WCE786451 WLP786451:WMA786451 WVL786451:WVW786451 D851987:O851987 IZ851987:JK851987 SV851987:TG851987 ACR851987:ADC851987 AMN851987:AMY851987 AWJ851987:AWU851987 BGF851987:BGQ851987 BQB851987:BQM851987 BZX851987:CAI851987 CJT851987:CKE851987 CTP851987:CUA851987 DDL851987:DDW851987 DNH851987:DNS851987 DXD851987:DXO851987 EGZ851987:EHK851987 EQV851987:ERG851987 FAR851987:FBC851987 FKN851987:FKY851987 FUJ851987:FUU851987 GEF851987:GEQ851987 GOB851987:GOM851987 GXX851987:GYI851987 HHT851987:HIE851987 HRP851987:HSA851987 IBL851987:IBW851987 ILH851987:ILS851987 IVD851987:IVO851987 JEZ851987:JFK851987 JOV851987:JPG851987 JYR851987:JZC851987 KIN851987:KIY851987 KSJ851987:KSU851987 LCF851987:LCQ851987 LMB851987:LMM851987 LVX851987:LWI851987 MFT851987:MGE851987 MPP851987:MQA851987 MZL851987:MZW851987 NJH851987:NJS851987 NTD851987:NTO851987 OCZ851987:ODK851987 OMV851987:ONG851987 OWR851987:OXC851987 PGN851987:PGY851987 PQJ851987:PQU851987 QAF851987:QAQ851987 QKB851987:QKM851987 QTX851987:QUI851987 RDT851987:REE851987 RNP851987:ROA851987 RXL851987:RXW851987 SHH851987:SHS851987 SRD851987:SRO851987 TAZ851987:TBK851987 TKV851987:TLG851987 TUR851987:TVC851987 UEN851987:UEY851987 UOJ851987:UOU851987 UYF851987:UYQ851987 VIB851987:VIM851987 VRX851987:VSI851987 WBT851987:WCE851987 WLP851987:WMA851987 WVL851987:WVW851987 D917523:O917523 IZ917523:JK917523 SV917523:TG917523 ACR917523:ADC917523 AMN917523:AMY917523 AWJ917523:AWU917523 BGF917523:BGQ917523 BQB917523:BQM917523 BZX917523:CAI917523 CJT917523:CKE917523 CTP917523:CUA917523 DDL917523:DDW917523 DNH917523:DNS917523 DXD917523:DXO917523 EGZ917523:EHK917523 EQV917523:ERG917523 FAR917523:FBC917523 FKN917523:FKY917523 FUJ917523:FUU917523 GEF917523:GEQ917523 GOB917523:GOM917523 GXX917523:GYI917523 HHT917523:HIE917523 HRP917523:HSA917523 IBL917523:IBW917523 ILH917523:ILS917523 IVD917523:IVO917523 JEZ917523:JFK917523 JOV917523:JPG917523 JYR917523:JZC917523 KIN917523:KIY917523 KSJ917523:KSU917523 LCF917523:LCQ917523 LMB917523:LMM917523 LVX917523:LWI917523 MFT917523:MGE917523 MPP917523:MQA917523 MZL917523:MZW917523 NJH917523:NJS917523 NTD917523:NTO917523 OCZ917523:ODK917523 OMV917523:ONG917523 OWR917523:OXC917523 PGN917523:PGY917523 PQJ917523:PQU917523 QAF917523:QAQ917523 QKB917523:QKM917523 QTX917523:QUI917523 RDT917523:REE917523 RNP917523:ROA917523 RXL917523:RXW917523 SHH917523:SHS917523 SRD917523:SRO917523 TAZ917523:TBK917523 TKV917523:TLG917523 TUR917523:TVC917523 UEN917523:UEY917523 UOJ917523:UOU917523 UYF917523:UYQ917523 VIB917523:VIM917523 VRX917523:VSI917523 WBT917523:WCE917523 WLP917523:WMA917523 WVL917523:WVW917523 D983059:O983059 IZ983059:JK983059 SV983059:TG983059 ACR983059:ADC983059 AMN983059:AMY983059 AWJ983059:AWU983059 BGF983059:BGQ983059 BQB983059:BQM983059 BZX983059:CAI983059 CJT983059:CKE983059 CTP983059:CUA983059 DDL983059:DDW983059 DNH983059:DNS983059 DXD983059:DXO983059 EGZ983059:EHK983059 EQV983059:ERG983059 FAR983059:FBC983059 FKN983059:FKY983059 FUJ983059:FUU983059 GEF983059:GEQ983059 GOB983059:GOM983059 GXX983059:GYI983059 HHT983059:HIE983059 HRP983059:HSA983059 IBL983059:IBW983059 ILH983059:ILS983059 IVD983059:IVO983059 JEZ983059:JFK983059 JOV983059:JPG983059 JYR983059:JZC983059 KIN983059:KIY983059 KSJ983059:KSU983059 LCF983059:LCQ983059 LMB983059:LMM983059 LVX983059:LWI983059 MFT983059:MGE983059 MPP983059:MQA983059 MZL983059:MZW983059 NJH983059:NJS983059 NTD983059:NTO983059 OCZ983059:ODK983059 OMV983059:ONG983059 OWR983059:OXC983059 PGN983059:PGY983059 PQJ983059:PQU983059 QAF983059:QAQ983059 QKB983059:QKM983059 QTX983059:QUI983059 RDT983059:REE983059 RNP983059:ROA983059 RXL983059:RXW983059 SHH983059:SHS983059 SRD983059:SRO983059 TAZ983059:TBK983059 TKV983059:TLG983059 TUR983059:TVC983059 UEN983059:UEY983059 UOJ983059:UOU983059 UYF983059:UYQ983059 VIB983059:VIM983059 VRX983059:VSI983059 WBT983059:WCE983059 WLP983059:WMA983059 WVL983059:WVW983059" xr:uid="{5042922E-D55E-465D-ACF5-A2449FA83AF9}">
      <formula1>$AM$4:$AM$22</formula1>
    </dataValidation>
  </dataValidations>
  <pageMargins left="0.78740157480314965" right="0.59055118110236227" top="0.51181102362204722" bottom="0.27559055118110237" header="0.74803149606299213" footer="0.31496062992125984"/>
  <pageSetup paperSize="9" scale="80" orientation="portrait" blackAndWhite="1" r:id="rId1"/>
  <headerFooter alignWithMargins="0">
    <oddFooter>&amp;L&amp;F&amp;Rver20240329</oddFooter>
  </headerFooter>
  <colBreaks count="1" manualBreakCount="1">
    <brk id="30" max="16383"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6573-360B-4D68-9E19-91E0B327C6E7}">
  <dimension ref="A1:BN50"/>
  <sheetViews>
    <sheetView view="pageBreakPreview" zoomScaleNormal="100" workbookViewId="0"/>
  </sheetViews>
  <sheetFormatPr defaultColWidth="2.625" defaultRowHeight="15" customHeight="1"/>
  <cols>
    <col min="1" max="1" width="2.375" style="499" customWidth="1"/>
    <col min="2" max="2" width="3.25" style="499" customWidth="1"/>
    <col min="3" max="32" width="2.625" style="499" customWidth="1"/>
    <col min="33" max="33" width="2.375" style="499" customWidth="1"/>
    <col min="34" max="34" width="2.625" style="499" customWidth="1"/>
    <col min="35" max="16384" width="2.625" style="499"/>
  </cols>
  <sheetData>
    <row r="1" spans="2:66" ht="12.75">
      <c r="B1" s="504" t="s">
        <v>3109</v>
      </c>
      <c r="C1" s="504"/>
      <c r="AF1" s="515"/>
    </row>
    <row r="2" spans="2:66" ht="12.75">
      <c r="AF2" s="515"/>
    </row>
    <row r="3" spans="2:66" ht="12.75">
      <c r="AF3" s="515"/>
    </row>
    <row r="4" spans="2:66" ht="14.25">
      <c r="B4" s="840" t="s">
        <v>3110</v>
      </c>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1"/>
    </row>
    <row r="7" spans="2:66" ht="12.75">
      <c r="C7" s="499" t="s">
        <v>3111</v>
      </c>
      <c r="AF7" s="514"/>
      <c r="AL7" s="842" t="s">
        <v>3112</v>
      </c>
      <c r="AM7" s="842"/>
      <c r="AN7" s="842"/>
      <c r="AO7" s="842"/>
      <c r="AP7" s="842"/>
      <c r="AQ7" s="842"/>
      <c r="AR7" s="842"/>
      <c r="AS7" s="842"/>
      <c r="AT7" s="842"/>
      <c r="AU7" s="842"/>
      <c r="AV7" s="842"/>
      <c r="AW7" s="842"/>
      <c r="AX7" s="842"/>
      <c r="AY7" s="842"/>
      <c r="AZ7" s="842"/>
      <c r="BA7" s="842"/>
      <c r="BB7" s="842"/>
      <c r="BC7" s="842"/>
      <c r="BD7" s="842"/>
      <c r="BE7" s="842"/>
      <c r="BF7" s="842"/>
      <c r="BG7" s="842"/>
      <c r="BH7" s="842"/>
      <c r="BI7" s="843"/>
      <c r="BJ7" s="843"/>
      <c r="BK7" s="843"/>
      <c r="BL7" s="843"/>
      <c r="BM7" s="843"/>
      <c r="BN7" s="843"/>
    </row>
    <row r="8" spans="2:66" ht="12.75">
      <c r="C8" s="499" t="s">
        <v>3113</v>
      </c>
      <c r="AF8" s="514"/>
      <c r="AL8" s="842"/>
      <c r="AM8" s="842"/>
      <c r="AN8" s="842"/>
      <c r="AO8" s="842"/>
      <c r="AP8" s="842"/>
      <c r="AQ8" s="842"/>
      <c r="AR8" s="842"/>
      <c r="AS8" s="842"/>
      <c r="AT8" s="842"/>
      <c r="AU8" s="842"/>
      <c r="AV8" s="842"/>
      <c r="AW8" s="842"/>
      <c r="AX8" s="842"/>
      <c r="AY8" s="842"/>
      <c r="AZ8" s="842"/>
      <c r="BA8" s="842"/>
      <c r="BB8" s="842"/>
      <c r="BC8" s="842"/>
      <c r="BD8" s="842"/>
      <c r="BE8" s="842"/>
      <c r="BF8" s="842"/>
      <c r="BG8" s="842"/>
      <c r="BH8" s="842"/>
      <c r="BI8" s="843"/>
      <c r="BJ8" s="843"/>
      <c r="BK8" s="843"/>
      <c r="BL8" s="843"/>
      <c r="BM8" s="843"/>
      <c r="BN8" s="843"/>
    </row>
    <row r="9" spans="2:66" ht="12.75">
      <c r="AL9" s="842"/>
      <c r="AM9" s="842"/>
      <c r="AN9" s="842"/>
      <c r="AO9" s="842"/>
      <c r="AP9" s="842"/>
      <c r="AQ9" s="842"/>
      <c r="AR9" s="842"/>
      <c r="AS9" s="842"/>
      <c r="AT9" s="842"/>
      <c r="AU9" s="842"/>
      <c r="AV9" s="842"/>
      <c r="AW9" s="842"/>
      <c r="AX9" s="842"/>
      <c r="AY9" s="842"/>
      <c r="AZ9" s="842"/>
      <c r="BA9" s="842"/>
      <c r="BB9" s="842"/>
      <c r="BC9" s="842"/>
      <c r="BD9" s="842"/>
      <c r="BE9" s="842"/>
      <c r="BF9" s="842"/>
      <c r="BG9" s="842"/>
      <c r="BH9" s="842"/>
      <c r="BI9" s="843"/>
      <c r="BJ9" s="843"/>
      <c r="BK9" s="843"/>
      <c r="BL9" s="843"/>
      <c r="BM9" s="843"/>
      <c r="BN9" s="843"/>
    </row>
    <row r="11" spans="2:66" ht="15" customHeight="1">
      <c r="C11" s="513" t="s">
        <v>3114</v>
      </c>
      <c r="E11" s="512"/>
      <c r="F11" s="512"/>
      <c r="G11" s="512"/>
      <c r="H11" s="512"/>
      <c r="I11" s="512"/>
      <c r="M11" s="499" t="s">
        <v>3115</v>
      </c>
    </row>
    <row r="13" spans="2:66" ht="12.75">
      <c r="U13" s="499" t="str">
        <f ca="1">TEXT(TODAY(),"ggg")</f>
        <v>令和</v>
      </c>
      <c r="W13" s="847"/>
      <c r="X13" s="847"/>
      <c r="Y13" s="499" t="s">
        <v>2822</v>
      </c>
      <c r="Z13" s="847"/>
      <c r="AA13" s="847"/>
      <c r="AB13" s="499" t="s">
        <v>2823</v>
      </c>
      <c r="AC13" s="847"/>
      <c r="AD13" s="847"/>
      <c r="AE13" s="499" t="s">
        <v>2824</v>
      </c>
    </row>
    <row r="15" spans="2:66" ht="12.75">
      <c r="L15" s="506" t="s">
        <v>3116</v>
      </c>
      <c r="M15" s="506"/>
      <c r="N15" s="506"/>
      <c r="O15" s="506"/>
      <c r="P15" s="511"/>
      <c r="Q15" s="511"/>
      <c r="R15" s="511"/>
      <c r="S15" s="511"/>
      <c r="T15" s="511"/>
      <c r="U15" s="511"/>
      <c r="V15" s="511"/>
      <c r="W15" s="511"/>
      <c r="X15" s="511"/>
      <c r="Y15" s="511"/>
      <c r="Z15" s="511"/>
      <c r="AA15" s="511"/>
      <c r="AB15" s="511"/>
      <c r="AC15" s="511"/>
      <c r="AD15" s="511"/>
      <c r="AE15" s="511"/>
    </row>
    <row r="16" spans="2:66" ht="12.75">
      <c r="L16" s="848" t="str">
        <f>cst_wskakunin_owner1__space</f>
        <v>猫山　花子</v>
      </c>
      <c r="M16" s="848"/>
      <c r="N16" s="848"/>
      <c r="O16" s="848"/>
      <c r="P16" s="848"/>
      <c r="Q16" s="848"/>
      <c r="R16" s="848"/>
      <c r="S16" s="848"/>
      <c r="T16" s="848"/>
      <c r="U16" s="848"/>
      <c r="V16" s="848"/>
      <c r="W16" s="848"/>
      <c r="X16" s="848"/>
      <c r="Y16" s="848"/>
      <c r="Z16" s="848"/>
      <c r="AA16" s="848"/>
      <c r="AB16" s="848"/>
      <c r="AC16" s="848"/>
      <c r="AD16" s="848"/>
      <c r="AE16" s="848"/>
    </row>
    <row r="17" spans="1:33" ht="12.75">
      <c r="L17" s="848"/>
      <c r="M17" s="848"/>
      <c r="N17" s="848"/>
      <c r="O17" s="848"/>
      <c r="P17" s="848"/>
      <c r="Q17" s="848"/>
      <c r="R17" s="848"/>
      <c r="S17" s="848"/>
      <c r="T17" s="848"/>
      <c r="U17" s="848"/>
      <c r="V17" s="848"/>
      <c r="W17" s="848"/>
      <c r="X17" s="848"/>
      <c r="Y17" s="848"/>
      <c r="Z17" s="848"/>
      <c r="AA17" s="848"/>
      <c r="AB17" s="848"/>
      <c r="AC17" s="848"/>
      <c r="AD17" s="848"/>
      <c r="AE17" s="848"/>
    </row>
    <row r="18" spans="1:33" ht="12.75">
      <c r="H18" s="510"/>
      <c r="I18" s="510"/>
      <c r="J18" s="510"/>
      <c r="K18" s="510"/>
      <c r="L18" s="510" t="s">
        <v>3117</v>
      </c>
      <c r="M18" s="510"/>
    </row>
    <row r="19" spans="1:33" ht="12.75">
      <c r="H19" s="510"/>
      <c r="I19" s="510"/>
      <c r="J19" s="510"/>
      <c r="K19" s="510"/>
      <c r="L19" s="846" t="str">
        <f>cst_wskakunin_owner1__address</f>
        <v>大阪府茨木市山手台2-2-2</v>
      </c>
      <c r="M19" s="846"/>
      <c r="N19" s="846"/>
      <c r="O19" s="846"/>
      <c r="P19" s="846"/>
      <c r="Q19" s="846"/>
      <c r="R19" s="846"/>
      <c r="S19" s="846"/>
      <c r="T19" s="846"/>
      <c r="U19" s="846"/>
      <c r="V19" s="846"/>
      <c r="W19" s="846"/>
      <c r="X19" s="846"/>
      <c r="Y19" s="846"/>
      <c r="Z19" s="846"/>
      <c r="AA19" s="846"/>
      <c r="AB19" s="846"/>
      <c r="AC19" s="846"/>
      <c r="AD19" s="846"/>
      <c r="AE19" s="846"/>
    </row>
    <row r="20" spans="1:33" ht="12.75">
      <c r="H20" s="510"/>
      <c r="I20" s="510"/>
      <c r="J20" s="510"/>
      <c r="K20" s="510"/>
      <c r="L20" s="846"/>
      <c r="M20" s="846"/>
      <c r="N20" s="846"/>
      <c r="O20" s="846"/>
      <c r="P20" s="846"/>
      <c r="Q20" s="846"/>
      <c r="R20" s="846"/>
      <c r="S20" s="846"/>
      <c r="T20" s="846"/>
      <c r="U20" s="846"/>
      <c r="V20" s="846"/>
      <c r="W20" s="846"/>
      <c r="X20" s="846"/>
      <c r="Y20" s="846"/>
      <c r="Z20" s="846"/>
      <c r="AA20" s="846"/>
      <c r="AB20" s="846"/>
      <c r="AC20" s="846"/>
      <c r="AD20" s="846"/>
      <c r="AE20" s="846"/>
    </row>
    <row r="21" spans="1:33" ht="12.75">
      <c r="A21" s="508"/>
      <c r="B21" s="508"/>
      <c r="C21" s="508"/>
      <c r="D21" s="508"/>
      <c r="E21" s="508"/>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8"/>
      <c r="AG21" s="508"/>
    </row>
    <row r="22" spans="1:33" ht="12.75">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row>
    <row r="23" spans="1:33" ht="12.75">
      <c r="A23" s="844" t="s">
        <v>3118</v>
      </c>
      <c r="B23" s="844"/>
      <c r="C23" s="844"/>
      <c r="D23" s="844"/>
      <c r="E23" s="844"/>
      <c r="F23" s="844"/>
      <c r="G23" s="844"/>
      <c r="H23" s="844"/>
      <c r="I23" s="844"/>
      <c r="J23" s="844"/>
      <c r="K23" s="844"/>
      <c r="L23" s="844"/>
      <c r="M23" s="844"/>
      <c r="N23" s="844"/>
      <c r="O23" s="844"/>
      <c r="P23" s="844"/>
      <c r="Q23" s="844"/>
      <c r="R23" s="844"/>
      <c r="S23" s="844"/>
      <c r="T23" s="844"/>
      <c r="U23" s="844"/>
      <c r="V23" s="844"/>
      <c r="W23" s="844"/>
      <c r="X23" s="844"/>
      <c r="Y23" s="844"/>
      <c r="Z23" s="844"/>
      <c r="AA23" s="844"/>
      <c r="AB23" s="844"/>
      <c r="AC23" s="844"/>
      <c r="AD23" s="844"/>
      <c r="AE23" s="844"/>
      <c r="AF23" s="844"/>
      <c r="AG23" s="844"/>
    </row>
    <row r="25" spans="1:33" ht="12.75">
      <c r="B25" s="502" t="s">
        <v>3119</v>
      </c>
      <c r="C25" s="499" t="s">
        <v>3120</v>
      </c>
    </row>
    <row r="26" spans="1:33" ht="12.75">
      <c r="C26" s="845" t="str">
        <f>cst_wskakunin_BUILD__address</f>
        <v>大阪府茨木市山手台2-2-2</v>
      </c>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506"/>
      <c r="AG26" s="506"/>
    </row>
    <row r="27" spans="1:33" ht="12.75">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506"/>
      <c r="AG27" s="506"/>
    </row>
    <row r="29" spans="1:33" ht="13.5">
      <c r="B29" s="502" t="s">
        <v>3121</v>
      </c>
      <c r="C29" s="499" t="s">
        <v>2832</v>
      </c>
      <c r="D29" s="6"/>
      <c r="E29" s="6"/>
      <c r="F29" s="6"/>
      <c r="G29" s="6"/>
      <c r="H29" s="6"/>
      <c r="I29" s="6"/>
      <c r="J29" s="6"/>
      <c r="K29" s="6"/>
      <c r="L29" s="6"/>
      <c r="M29" s="505" t="str">
        <f ca="1">TEXT(TODAY(),"ggg")</f>
        <v>令和</v>
      </c>
      <c r="N29" s="505"/>
      <c r="O29" s="849">
        <f ca="1">cst_shinsei_KAKUNIN_KOUFU_DATE</f>
        <v>45363</v>
      </c>
      <c r="P29" s="849"/>
      <c r="Q29" s="505" t="s">
        <v>2822</v>
      </c>
      <c r="R29" s="850">
        <f ca="1">cst_shinsei_KAKUNIN_KOUFU_DATE</f>
        <v>45363</v>
      </c>
      <c r="S29" s="850"/>
      <c r="T29" s="505" t="s">
        <v>2823</v>
      </c>
      <c r="U29" s="851">
        <f ca="1">cst_shinsei_KAKUNIN_KOUFU_DATE</f>
        <v>45363</v>
      </c>
      <c r="V29" s="851"/>
      <c r="W29" s="505" t="s">
        <v>2824</v>
      </c>
      <c r="X29" s="505"/>
      <c r="Y29" s="505"/>
      <c r="Z29" s="505"/>
      <c r="AA29" s="6"/>
      <c r="AB29" s="6"/>
      <c r="AC29" s="6"/>
      <c r="AD29" s="6"/>
    </row>
    <row r="31" spans="1:33" ht="12.75">
      <c r="B31" s="502" t="s">
        <v>3122</v>
      </c>
      <c r="C31" s="499" t="s">
        <v>106</v>
      </c>
      <c r="M31" s="853" t="s">
        <v>3123</v>
      </c>
      <c r="N31" s="853"/>
      <c r="O31" s="854" t="str">
        <f ca="1">MID(cst_shinsei_KAKUNIN_ISSUE_NO,2,2)</f>
        <v>05</v>
      </c>
      <c r="P31" s="854"/>
      <c r="Q31" s="855" t="str">
        <f ca="1">MID(cst_shinsei_KAKUNIN_ISSUE_NO,4,2)</f>
        <v>確認</v>
      </c>
      <c r="R31" s="855"/>
      <c r="S31" s="855" t="str">
        <f ca="1">MID(cst_shinsei_KAKUNIN_ISSUE_NO,6,6)</f>
        <v>建築IPEC</v>
      </c>
      <c r="T31" s="855"/>
      <c r="U31" s="855"/>
      <c r="V31" s="855"/>
      <c r="W31" s="852" t="str">
        <f ca="1">RIGHT(cst_shinsei_KAKUNIN_ISSUE_NO,5)</f>
        <v>70003</v>
      </c>
      <c r="X31" s="852"/>
      <c r="Y31" s="852"/>
      <c r="Z31" s="503" t="s">
        <v>2762</v>
      </c>
      <c r="AA31" s="503"/>
    </row>
    <row r="33" spans="2:31" ht="12.75">
      <c r="B33" s="502" t="s">
        <v>3124</v>
      </c>
      <c r="C33" s="499" t="s">
        <v>39</v>
      </c>
    </row>
    <row r="35" spans="2:31" ht="12.75">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row>
    <row r="36" spans="2:31" ht="12.75">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row>
    <row r="37" spans="2:31" ht="12.75">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row>
    <row r="38" spans="2:31" ht="12.75">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row>
    <row r="39" spans="2:31" ht="12.75">
      <c r="B39" s="502"/>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row>
    <row r="40" spans="2:31" ht="12.75">
      <c r="B40" s="502"/>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row>
    <row r="41" spans="2:31" ht="12.75">
      <c r="B41" s="502"/>
    </row>
    <row r="42" spans="2:31" ht="12.75">
      <c r="B42" s="502" t="s">
        <v>3125</v>
      </c>
      <c r="C42" s="499" t="s">
        <v>3126</v>
      </c>
    </row>
    <row r="44" spans="2:31" ht="12.75">
      <c r="B44" s="500"/>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59"/>
      <c r="AB44" s="659"/>
      <c r="AC44" s="659"/>
      <c r="AD44" s="659"/>
      <c r="AE44" s="659"/>
    </row>
    <row r="45" spans="2:31" ht="12.75">
      <c r="C45" s="660"/>
      <c r="D45" s="659"/>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row>
    <row r="46" spans="2:31" ht="12.75">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row>
    <row r="48" spans="2:31" ht="12.75">
      <c r="B48" s="500" t="s">
        <v>3104</v>
      </c>
      <c r="C48" s="501" t="s">
        <v>3127</v>
      </c>
      <c r="D48" s="500" t="s">
        <v>3128</v>
      </c>
    </row>
    <row r="49" spans="2:4" ht="12.75">
      <c r="B49" s="502"/>
      <c r="C49" s="501" t="s">
        <v>3129</v>
      </c>
      <c r="D49" s="500" t="s">
        <v>3130</v>
      </c>
    </row>
    <row r="50" spans="2:4" ht="12.75">
      <c r="B50" s="500"/>
      <c r="C50" s="501" t="s">
        <v>3131</v>
      </c>
      <c r="D50" s="500" t="s">
        <v>3132</v>
      </c>
    </row>
  </sheetData>
  <mergeCells count="17">
    <mergeCell ref="O29:P29"/>
    <mergeCell ref="R29:S29"/>
    <mergeCell ref="U29:V29"/>
    <mergeCell ref="W31:Y31"/>
    <mergeCell ref="M31:N31"/>
    <mergeCell ref="O31:P31"/>
    <mergeCell ref="Q31:R31"/>
    <mergeCell ref="S31:V31"/>
    <mergeCell ref="B4:AF4"/>
    <mergeCell ref="AL7:BN9"/>
    <mergeCell ref="A23:AG23"/>
    <mergeCell ref="C26:AE27"/>
    <mergeCell ref="L19:AE20"/>
    <mergeCell ref="AC13:AD13"/>
    <mergeCell ref="Z13:AA13"/>
    <mergeCell ref="W13:X13"/>
    <mergeCell ref="L16:AE17"/>
  </mergeCells>
  <phoneticPr fontId="7"/>
  <dataValidations count="2">
    <dataValidation type="list" allowBlank="1" showInputMessage="1" sqref="S31:V31" xr:uid="{00000000-0002-0000-0000-000001000000}">
      <formula1>"　,建築ＩＰＥＣ,昇降ＩＰＥＣ,工作ＩＰＥＣ,設備ＩＰＥＣ"</formula1>
    </dataValidation>
    <dataValidation type="list" allowBlank="1" showInputMessage="1" sqref="Q31:R31" xr:uid="{00000000-0002-0000-0000-000000000000}">
      <formula1>"　 ,確認,確更"</formula1>
    </dataValidation>
  </dataValidations>
  <pageMargins left="0.78740157480314965" right="0.70866141732283472" top="0.98425196850393704" bottom="0.78740157480314965" header="0.51181102362204722" footer="0.19685039370078741"/>
  <pageSetup paperSize="9" orientation="portrait" blackAndWhite="1" horizontalDpi="4294967293" verticalDpi="300" r:id="rId1"/>
  <headerFooter alignWithMargins="0">
    <oddFooter>&amp;L&amp;8&amp;F&amp;R&amp;8 070620</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AB1A-06CE-4FCD-AD23-D60CA37AF706}">
  <dimension ref="A1:AQ51"/>
  <sheetViews>
    <sheetView view="pageBreakPreview" zoomScaleNormal="100" zoomScaleSheetLayoutView="100" zoomScalePageLayoutView="70" workbookViewId="0"/>
  </sheetViews>
  <sheetFormatPr defaultColWidth="2.375" defaultRowHeight="13.5"/>
  <cols>
    <col min="1" max="1" width="2.375" style="516" customWidth="1"/>
    <col min="2" max="3" width="2.75" style="516" bestFit="1" customWidth="1"/>
    <col min="4" max="4" width="2.375" style="516" customWidth="1"/>
    <col min="5" max="16384" width="2.375" style="516"/>
  </cols>
  <sheetData>
    <row r="1" spans="1:37">
      <c r="A1" s="516" t="s">
        <v>3133</v>
      </c>
    </row>
    <row r="2" spans="1:37" ht="14.25">
      <c r="A2" s="856" t="s">
        <v>3134</v>
      </c>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row>
    <row r="5" spans="1:37">
      <c r="B5" s="527" t="s">
        <v>3135</v>
      </c>
    </row>
    <row r="8" spans="1:37">
      <c r="B8" s="516" t="s">
        <v>3136</v>
      </c>
      <c r="J8" s="516" t="s">
        <v>3115</v>
      </c>
    </row>
    <row r="10" spans="1:37">
      <c r="Y10" s="499" t="str">
        <f ca="1">TEXT(TODAY(),"ggg")</f>
        <v>令和</v>
      </c>
      <c r="Z10" s="499"/>
      <c r="AA10" s="847"/>
      <c r="AB10" s="847"/>
      <c r="AC10" s="499" t="s">
        <v>2822</v>
      </c>
      <c r="AD10" s="847"/>
      <c r="AE10" s="847"/>
      <c r="AF10" s="499" t="s">
        <v>2823</v>
      </c>
      <c r="AG10" s="847"/>
      <c r="AH10" s="847"/>
      <c r="AI10" s="499" t="s">
        <v>2824</v>
      </c>
    </row>
    <row r="12" spans="1:37">
      <c r="T12" s="516" t="s">
        <v>3137</v>
      </c>
    </row>
    <row r="13" spans="1:37">
      <c r="T13" s="857" t="str">
        <f>cst_wskakunin_owner1_NAME</f>
        <v>猫山　花子</v>
      </c>
      <c r="U13" s="857"/>
      <c r="V13" s="857"/>
      <c r="W13" s="857"/>
      <c r="X13" s="857"/>
      <c r="Y13" s="857"/>
      <c r="Z13" s="857"/>
      <c r="AA13" s="857"/>
      <c r="AB13" s="857"/>
      <c r="AC13" s="857"/>
      <c r="AD13" s="857"/>
      <c r="AE13" s="857"/>
      <c r="AF13" s="857"/>
      <c r="AG13" s="857"/>
      <c r="AH13" s="857"/>
      <c r="AI13" s="857"/>
      <c r="AJ13" s="857"/>
    </row>
    <row r="14" spans="1:37">
      <c r="T14" s="857"/>
      <c r="U14" s="857"/>
      <c r="V14" s="857"/>
      <c r="W14" s="857"/>
      <c r="X14" s="857"/>
      <c r="Y14" s="857"/>
      <c r="Z14" s="857"/>
      <c r="AA14" s="857"/>
      <c r="AB14" s="857"/>
      <c r="AC14" s="857"/>
      <c r="AD14" s="857"/>
      <c r="AE14" s="857"/>
      <c r="AF14" s="857"/>
      <c r="AG14" s="857"/>
      <c r="AH14" s="857"/>
      <c r="AI14" s="857"/>
      <c r="AJ14" s="857"/>
    </row>
    <row r="16" spans="1:37">
      <c r="T16" s="516" t="s">
        <v>3138</v>
      </c>
    </row>
    <row r="17" spans="1:37">
      <c r="T17" s="857" t="str">
        <f>cst_wskakunin_owner1__address</f>
        <v>大阪府茨木市山手台2-2-2</v>
      </c>
      <c r="U17" s="857"/>
      <c r="V17" s="857"/>
      <c r="W17" s="857"/>
      <c r="X17" s="857"/>
      <c r="Y17" s="857"/>
      <c r="Z17" s="857"/>
      <c r="AA17" s="857"/>
      <c r="AB17" s="857"/>
      <c r="AC17" s="857"/>
      <c r="AD17" s="857"/>
      <c r="AE17" s="857"/>
      <c r="AF17" s="857"/>
      <c r="AG17" s="857"/>
      <c r="AH17" s="857"/>
      <c r="AI17" s="857"/>
      <c r="AJ17" s="857"/>
    </row>
    <row r="18" spans="1:37">
      <c r="T18" s="857"/>
      <c r="U18" s="857"/>
      <c r="V18" s="857"/>
      <c r="W18" s="857"/>
      <c r="X18" s="857"/>
      <c r="Y18" s="857"/>
      <c r="Z18" s="857"/>
      <c r="AA18" s="857"/>
      <c r="AB18" s="857"/>
      <c r="AC18" s="857"/>
      <c r="AD18" s="857"/>
      <c r="AE18" s="857"/>
      <c r="AF18" s="857"/>
      <c r="AG18" s="857"/>
      <c r="AH18" s="857"/>
      <c r="AI18" s="857"/>
      <c r="AJ18" s="857"/>
    </row>
    <row r="20" spans="1:37">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row>
    <row r="21" spans="1:37">
      <c r="S21" s="516" t="s">
        <v>3118</v>
      </c>
    </row>
    <row r="23" spans="1:37">
      <c r="A23" s="524" t="s">
        <v>3139</v>
      </c>
      <c r="B23" s="523"/>
      <c r="C23" s="523"/>
      <c r="D23" s="523"/>
      <c r="E23" s="523"/>
      <c r="F23" s="523"/>
      <c r="G23" s="523"/>
      <c r="H23" s="523"/>
      <c r="I23" s="523"/>
      <c r="J23" s="523"/>
      <c r="K23" s="524" t="s">
        <v>3140</v>
      </c>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2"/>
    </row>
    <row r="24" spans="1:37">
      <c r="A24" s="521"/>
      <c r="K24" s="521"/>
      <c r="L24" s="857" t="str">
        <f>cst_wskakunin_owner1__address</f>
        <v>大阪府茨木市山手台2-2-2</v>
      </c>
      <c r="M24" s="857"/>
      <c r="N24" s="857"/>
      <c r="O24" s="857"/>
      <c r="P24" s="857"/>
      <c r="Q24" s="857"/>
      <c r="R24" s="857"/>
      <c r="S24" s="857"/>
      <c r="T24" s="857"/>
      <c r="U24" s="857"/>
      <c r="V24" s="857"/>
      <c r="W24" s="857"/>
      <c r="X24" s="857"/>
      <c r="Y24" s="857"/>
      <c r="Z24" s="857"/>
      <c r="AA24" s="857"/>
      <c r="AB24" s="857"/>
      <c r="AC24" s="857"/>
      <c r="AD24" s="857"/>
      <c r="AE24" s="857"/>
      <c r="AF24" s="857"/>
      <c r="AG24" s="857"/>
      <c r="AH24" s="857"/>
      <c r="AI24" s="857"/>
      <c r="AJ24" s="857"/>
      <c r="AK24" s="520"/>
    </row>
    <row r="25" spans="1:37">
      <c r="A25" s="521"/>
      <c r="K25" s="521"/>
      <c r="L25" s="858"/>
      <c r="M25" s="858"/>
      <c r="N25" s="858"/>
      <c r="O25" s="858"/>
      <c r="P25" s="858"/>
      <c r="Q25" s="858"/>
      <c r="R25" s="858"/>
      <c r="S25" s="858"/>
      <c r="T25" s="858"/>
      <c r="U25" s="858"/>
      <c r="V25" s="858"/>
      <c r="W25" s="858"/>
      <c r="X25" s="858"/>
      <c r="Y25" s="858"/>
      <c r="Z25" s="858"/>
      <c r="AA25" s="858"/>
      <c r="AB25" s="858"/>
      <c r="AC25" s="858"/>
      <c r="AD25" s="858"/>
      <c r="AE25" s="858"/>
      <c r="AF25" s="858"/>
      <c r="AG25" s="858"/>
      <c r="AH25" s="858"/>
      <c r="AI25" s="858"/>
      <c r="AJ25" s="858"/>
      <c r="AK25" s="520"/>
    </row>
    <row r="26" spans="1:37">
      <c r="A26" s="521"/>
      <c r="K26" s="524" t="s">
        <v>3141</v>
      </c>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2"/>
    </row>
    <row r="27" spans="1:37">
      <c r="A27" s="521"/>
      <c r="K27" s="521"/>
      <c r="L27" s="857" t="str">
        <f>cst_wskakunin_owner1__space</f>
        <v>猫山　花子</v>
      </c>
      <c r="M27" s="857"/>
      <c r="N27" s="857"/>
      <c r="O27" s="857"/>
      <c r="P27" s="857"/>
      <c r="Q27" s="857"/>
      <c r="R27" s="857"/>
      <c r="S27" s="857"/>
      <c r="T27" s="857"/>
      <c r="U27" s="857"/>
      <c r="V27" s="857"/>
      <c r="W27" s="857"/>
      <c r="X27" s="857"/>
      <c r="Y27" s="857"/>
      <c r="Z27" s="857"/>
      <c r="AA27" s="857"/>
      <c r="AB27" s="857"/>
      <c r="AC27" s="857"/>
      <c r="AD27" s="857"/>
      <c r="AE27" s="857"/>
      <c r="AF27" s="857"/>
      <c r="AG27" s="857"/>
      <c r="AH27" s="857"/>
      <c r="AI27" s="857"/>
      <c r="AJ27" s="857"/>
      <c r="AK27" s="520"/>
    </row>
    <row r="28" spans="1:37">
      <c r="A28" s="519"/>
      <c r="B28" s="518"/>
      <c r="C28" s="518"/>
      <c r="D28" s="518"/>
      <c r="E28" s="518"/>
      <c r="F28" s="518"/>
      <c r="G28" s="518"/>
      <c r="H28" s="518"/>
      <c r="I28" s="518"/>
      <c r="J28" s="518"/>
      <c r="K28" s="519"/>
      <c r="L28" s="858"/>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517"/>
    </row>
    <row r="29" spans="1:37">
      <c r="A29" s="524" t="s">
        <v>3142</v>
      </c>
      <c r="B29" s="523"/>
      <c r="C29" s="523"/>
      <c r="D29" s="523"/>
      <c r="E29" s="523"/>
      <c r="F29" s="523"/>
      <c r="G29" s="523"/>
      <c r="H29" s="523"/>
      <c r="I29" s="523"/>
      <c r="J29" s="523"/>
      <c r="K29" s="524"/>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2"/>
    </row>
    <row r="30" spans="1:37">
      <c r="A30" s="521" t="s">
        <v>3143</v>
      </c>
      <c r="F30" s="516" t="s">
        <v>3144</v>
      </c>
      <c r="K30" s="521"/>
      <c r="L30" s="857" t="str">
        <f>cst_wskakunin_BUILD__address</f>
        <v>大阪府茨木市山手台2-2-2</v>
      </c>
      <c r="M30" s="857"/>
      <c r="N30" s="857"/>
      <c r="O30" s="857"/>
      <c r="P30" s="857"/>
      <c r="Q30" s="857"/>
      <c r="R30" s="857"/>
      <c r="S30" s="857"/>
      <c r="T30" s="857"/>
      <c r="U30" s="857"/>
      <c r="V30" s="857"/>
      <c r="W30" s="857"/>
      <c r="X30" s="857"/>
      <c r="Y30" s="857"/>
      <c r="Z30" s="857"/>
      <c r="AA30" s="857"/>
      <c r="AB30" s="857"/>
      <c r="AC30" s="857"/>
      <c r="AD30" s="857"/>
      <c r="AE30" s="857"/>
      <c r="AF30" s="857"/>
      <c r="AG30" s="857"/>
      <c r="AH30" s="857"/>
      <c r="AI30" s="857"/>
      <c r="AJ30" s="857"/>
      <c r="AK30" s="520"/>
    </row>
    <row r="31" spans="1:37">
      <c r="A31" s="519" t="s">
        <v>3145</v>
      </c>
      <c r="B31" s="518"/>
      <c r="C31" s="518"/>
      <c r="D31" s="518"/>
      <c r="E31" s="518"/>
      <c r="F31" s="518"/>
      <c r="G31" s="518"/>
      <c r="H31" s="518"/>
      <c r="I31" s="518"/>
      <c r="J31" s="518"/>
      <c r="K31" s="519"/>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7"/>
    </row>
    <row r="32" spans="1:37">
      <c r="A32" s="524" t="s">
        <v>3146</v>
      </c>
      <c r="B32" s="523"/>
      <c r="C32" s="523"/>
      <c r="D32" s="523"/>
      <c r="E32" s="523"/>
      <c r="F32" s="523"/>
      <c r="G32" s="523"/>
      <c r="H32" s="523"/>
      <c r="I32" s="523"/>
      <c r="J32" s="523"/>
      <c r="K32" s="524"/>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2"/>
    </row>
    <row r="33" spans="1:43">
      <c r="A33" s="521" t="s">
        <v>3147</v>
      </c>
      <c r="K33" s="521"/>
      <c r="L33" s="526"/>
      <c r="M33" s="526"/>
      <c r="R33" s="853" t="s">
        <v>3123</v>
      </c>
      <c r="S33" s="853"/>
      <c r="T33" s="854" t="str">
        <f ca="1">MID(cst_shinsei_KAKUNIN_ISSUE_NO,2,2)</f>
        <v>05</v>
      </c>
      <c r="U33" s="854"/>
      <c r="V33" s="855" t="str">
        <f ca="1">MID(cst_shinsei_KAKUNIN_ISSUE_NO,4,2)</f>
        <v>確認</v>
      </c>
      <c r="W33" s="855"/>
      <c r="X33" s="855" t="str">
        <f ca="1">MID(cst_shinsei_KAKUNIN_ISSUE_NO,6,6)</f>
        <v>建築IPEC</v>
      </c>
      <c r="Y33" s="855"/>
      <c r="Z33" s="855"/>
      <c r="AA33" s="855"/>
      <c r="AB33" s="852" t="str">
        <f ca="1">RIGHT(cst_shinsei_KAKUNIN_ISSUE_NO,5)</f>
        <v>70003</v>
      </c>
      <c r="AC33" s="852"/>
      <c r="AD33" s="852"/>
      <c r="AE33" s="503" t="s">
        <v>2762</v>
      </c>
      <c r="AK33" s="520"/>
      <c r="AQ33" s="525" t="s">
        <v>3083</v>
      </c>
    </row>
    <row r="34" spans="1:43">
      <c r="A34" s="519"/>
      <c r="B34" s="518"/>
      <c r="C34" s="518"/>
      <c r="D34" s="518"/>
      <c r="E34" s="518"/>
      <c r="F34" s="518"/>
      <c r="G34" s="518"/>
      <c r="H34" s="518"/>
      <c r="I34" s="518"/>
      <c r="J34" s="518"/>
      <c r="K34" s="519"/>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7"/>
      <c r="AQ34" s="525" t="s">
        <v>3084</v>
      </c>
    </row>
    <row r="35" spans="1:43">
      <c r="A35" s="524" t="s">
        <v>3148</v>
      </c>
      <c r="B35" s="523"/>
      <c r="C35" s="523"/>
      <c r="D35" s="523"/>
      <c r="E35" s="523"/>
      <c r="F35" s="523"/>
      <c r="G35" s="523"/>
      <c r="H35" s="523"/>
      <c r="I35" s="523"/>
      <c r="J35" s="523"/>
      <c r="K35" s="524" t="s">
        <v>3149</v>
      </c>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2"/>
      <c r="AQ35" s="525" t="s">
        <v>3086</v>
      </c>
    </row>
    <row r="36" spans="1:43">
      <c r="A36" s="521"/>
      <c r="K36" s="52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520"/>
      <c r="AQ36" s="525" t="s">
        <v>3087</v>
      </c>
    </row>
    <row r="37" spans="1:43">
      <c r="A37" s="521"/>
      <c r="K37" s="521"/>
      <c r="AK37" s="520"/>
      <c r="AQ37" s="525" t="s">
        <v>3088</v>
      </c>
    </row>
    <row r="38" spans="1:43">
      <c r="A38" s="521"/>
      <c r="K38" s="524" t="s">
        <v>3150</v>
      </c>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2"/>
      <c r="AQ38" s="525" t="s">
        <v>3091</v>
      </c>
    </row>
    <row r="39" spans="1:43">
      <c r="A39" s="521"/>
      <c r="K39" s="52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520"/>
    </row>
    <row r="40" spans="1:43">
      <c r="A40" s="519"/>
      <c r="B40" s="518"/>
      <c r="C40" s="518"/>
      <c r="D40" s="518"/>
      <c r="E40" s="518"/>
      <c r="F40" s="518"/>
      <c r="G40" s="518"/>
      <c r="H40" s="518"/>
      <c r="I40" s="518"/>
      <c r="J40" s="518"/>
      <c r="K40" s="519"/>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7"/>
    </row>
    <row r="41" spans="1:43">
      <c r="A41" s="524" t="s">
        <v>3151</v>
      </c>
      <c r="B41" s="523"/>
      <c r="C41" s="523"/>
      <c r="D41" s="523"/>
      <c r="E41" s="523"/>
      <c r="F41" s="523"/>
      <c r="G41" s="523"/>
      <c r="H41" s="523"/>
      <c r="I41" s="523"/>
      <c r="J41" s="523"/>
      <c r="K41" s="524"/>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2"/>
    </row>
    <row r="42" spans="1:43">
      <c r="A42" s="521"/>
      <c r="K42" s="52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520"/>
    </row>
    <row r="43" spans="1:43">
      <c r="A43" s="521"/>
      <c r="K43" s="52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520"/>
    </row>
    <row r="44" spans="1:43">
      <c r="A44" s="519"/>
      <c r="B44" s="518"/>
      <c r="C44" s="518"/>
      <c r="D44" s="518"/>
      <c r="E44" s="518"/>
      <c r="F44" s="518"/>
      <c r="G44" s="518"/>
      <c r="H44" s="518"/>
      <c r="I44" s="518"/>
      <c r="J44" s="518"/>
      <c r="K44" s="519"/>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7"/>
    </row>
    <row r="46" spans="1:43">
      <c r="B46" s="516" t="s">
        <v>3104</v>
      </c>
      <c r="C46" s="516">
        <v>1</v>
      </c>
      <c r="D46" s="516" t="s">
        <v>3152</v>
      </c>
    </row>
    <row r="48" spans="1:43">
      <c r="C48" s="516">
        <v>2</v>
      </c>
      <c r="D48" s="516" t="s">
        <v>3153</v>
      </c>
    </row>
    <row r="50" spans="3:4">
      <c r="C50" s="516">
        <v>3</v>
      </c>
      <c r="D50" s="516" t="s">
        <v>3154</v>
      </c>
    </row>
    <row r="51" spans="3:4">
      <c r="D51" s="516" t="s">
        <v>3155</v>
      </c>
    </row>
  </sheetData>
  <mergeCells count="14">
    <mergeCell ref="L24:AJ25"/>
    <mergeCell ref="L27:AJ28"/>
    <mergeCell ref="L30:AJ30"/>
    <mergeCell ref="R33:S33"/>
    <mergeCell ref="T33:U33"/>
    <mergeCell ref="V33:W33"/>
    <mergeCell ref="X33:AA33"/>
    <mergeCell ref="AB33:AD33"/>
    <mergeCell ref="A2:AK2"/>
    <mergeCell ref="T17:AJ18"/>
    <mergeCell ref="T13:AJ14"/>
    <mergeCell ref="AA10:AB10"/>
    <mergeCell ref="AD10:AE10"/>
    <mergeCell ref="AG10:AH10"/>
  </mergeCells>
  <phoneticPr fontId="7"/>
  <dataValidations count="2">
    <dataValidation type="list" allowBlank="1" showInputMessage="1" sqref="V33:W33" xr:uid="{E3EF8193-D381-4288-8402-525FAEE58A70}">
      <formula1>"　 ,確認,確更"</formula1>
    </dataValidation>
    <dataValidation type="list" allowBlank="1" showInputMessage="1" sqref="X33:AA33" xr:uid="{C4DD07BB-9739-44B1-A76D-30587B4CEC51}">
      <formula1>"　,建築ＩＰＥＣ,昇降ＩＰＥＣ,工作ＩＰＥＣ,設備ＩＰＥＣ"</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headerFooter>
    <oddFooter>&amp;L&amp;9ＩＰＥＣ－12　誤記訂正</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7DA8-4BBB-446B-8160-4476D1913802}">
  <sheetPr>
    <tabColor theme="8"/>
  </sheetPr>
  <dimension ref="A1:AN67"/>
  <sheetViews>
    <sheetView workbookViewId="0"/>
  </sheetViews>
  <sheetFormatPr defaultColWidth="2.625" defaultRowHeight="15" customHeight="1"/>
  <cols>
    <col min="1" max="6" width="2.625" style="528" customWidth="1"/>
    <col min="7" max="32" width="2.875" style="528" customWidth="1"/>
    <col min="33" max="33" width="2.625" style="528" customWidth="1"/>
    <col min="34" max="16384" width="2.625" style="528"/>
  </cols>
  <sheetData>
    <row r="1" spans="1:34" ht="6" customHeight="1"/>
    <row r="2" spans="1:34" ht="15.95" customHeight="1">
      <c r="B2" s="859" t="s">
        <v>3156</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H2" s="570" t="s">
        <v>3157</v>
      </c>
    </row>
    <row r="3" spans="1:34" ht="14.25">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H3" s="570"/>
    </row>
    <row r="4" spans="1:34" ht="12" customHeight="1">
      <c r="B4" s="574" t="s">
        <v>3158</v>
      </c>
      <c r="C4" s="573"/>
      <c r="D4" s="573"/>
      <c r="E4" s="573"/>
      <c r="F4" s="573"/>
      <c r="G4" s="573"/>
      <c r="H4" s="572"/>
      <c r="I4" s="570"/>
    </row>
    <row r="5" spans="1:34" ht="12" customHeight="1">
      <c r="B5" s="573"/>
      <c r="C5" s="573"/>
      <c r="D5" s="573"/>
      <c r="E5" s="573"/>
      <c r="F5" s="573"/>
      <c r="G5" s="573"/>
      <c r="H5" s="572"/>
      <c r="I5" s="570"/>
      <c r="V5" s="570"/>
      <c r="Y5" s="570" t="s">
        <v>3103</v>
      </c>
      <c r="Z5" s="571"/>
      <c r="AA5" s="658"/>
      <c r="AB5" s="570" t="s">
        <v>2822</v>
      </c>
      <c r="AC5" s="658"/>
      <c r="AD5" s="570" t="s">
        <v>2823</v>
      </c>
      <c r="AE5" s="658"/>
      <c r="AF5" s="570" t="s">
        <v>2824</v>
      </c>
    </row>
    <row r="6" spans="1:34" s="560" customFormat="1" ht="17.25">
      <c r="B6" s="569" t="s">
        <v>3114</v>
      </c>
      <c r="E6" s="568"/>
      <c r="F6" s="568"/>
      <c r="G6" s="568"/>
      <c r="H6" s="568"/>
      <c r="I6" s="568"/>
      <c r="J6" s="560" t="s">
        <v>3115</v>
      </c>
    </row>
    <row r="7" spans="1:34" s="560" customFormat="1" ht="12" customHeight="1">
      <c r="N7" s="567"/>
      <c r="R7" s="567" t="s">
        <v>3116</v>
      </c>
      <c r="S7" s="567"/>
      <c r="T7" s="567"/>
      <c r="U7" s="567"/>
      <c r="V7" s="567"/>
      <c r="W7" s="567"/>
      <c r="X7" s="567"/>
      <c r="Y7" s="567"/>
      <c r="Z7" s="567"/>
      <c r="AA7" s="567"/>
      <c r="AB7" s="567"/>
      <c r="AC7" s="567"/>
      <c r="AD7" s="567"/>
      <c r="AE7" s="567"/>
      <c r="AF7" s="563"/>
    </row>
    <row r="8" spans="1:34" s="563" customFormat="1" ht="12" customHeight="1">
      <c r="N8" s="567"/>
      <c r="Q8" s="567"/>
      <c r="R8" s="943" t="str">
        <f>cst_wskakunin_owner1_NAME</f>
        <v>猫山　花子</v>
      </c>
      <c r="S8" s="943"/>
      <c r="T8" s="943"/>
      <c r="U8" s="943"/>
      <c r="V8" s="943"/>
      <c r="W8" s="943"/>
      <c r="X8" s="943"/>
      <c r="Y8" s="943"/>
      <c r="Z8" s="943"/>
      <c r="AA8" s="943"/>
      <c r="AB8" s="943"/>
      <c r="AC8" s="943"/>
      <c r="AD8" s="943"/>
      <c r="AE8" s="943"/>
    </row>
    <row r="9" spans="1:34" s="563" customFormat="1" ht="12" customHeight="1">
      <c r="R9" s="943"/>
      <c r="S9" s="943"/>
      <c r="T9" s="943"/>
      <c r="U9" s="943"/>
      <c r="V9" s="943"/>
      <c r="W9" s="943"/>
      <c r="X9" s="943"/>
      <c r="Y9" s="943"/>
      <c r="Z9" s="943"/>
      <c r="AA9" s="943"/>
      <c r="AB9" s="943"/>
      <c r="AC9" s="943"/>
      <c r="AD9" s="943"/>
      <c r="AE9" s="943"/>
    </row>
    <row r="10" spans="1:34" s="563" customFormat="1" ht="12" customHeight="1">
      <c r="N10" s="567"/>
      <c r="Q10" s="567"/>
      <c r="R10" s="567" t="s">
        <v>3117</v>
      </c>
      <c r="S10" s="567"/>
      <c r="T10" s="567"/>
      <c r="U10" s="567"/>
      <c r="V10" s="567"/>
      <c r="W10" s="567"/>
      <c r="X10" s="567"/>
      <c r="Y10" s="567"/>
      <c r="Z10" s="567"/>
      <c r="AA10" s="567"/>
      <c r="AB10" s="567"/>
      <c r="AC10" s="567"/>
      <c r="AD10" s="567"/>
      <c r="AE10" s="567"/>
    </row>
    <row r="11" spans="1:34" s="563" customFormat="1" ht="12" customHeight="1">
      <c r="M11" s="567"/>
      <c r="N11" s="567"/>
      <c r="O11" s="567"/>
      <c r="P11" s="567"/>
      <c r="Q11" s="567"/>
      <c r="R11" s="885" t="str">
        <f>cst_wskakunin_owner1__address</f>
        <v>大阪府茨木市山手台2-2-2</v>
      </c>
      <c r="S11" s="885"/>
      <c r="T11" s="885"/>
      <c r="U11" s="885"/>
      <c r="V11" s="885"/>
      <c r="W11" s="885"/>
      <c r="X11" s="885"/>
      <c r="Y11" s="885"/>
      <c r="Z11" s="885"/>
      <c r="AA11" s="885"/>
      <c r="AB11" s="885"/>
      <c r="AC11" s="885"/>
      <c r="AD11" s="885"/>
      <c r="AE11" s="885"/>
    </row>
    <row r="12" spans="1:34" s="563" customFormat="1" ht="12" customHeight="1">
      <c r="M12" s="567"/>
      <c r="N12" s="567"/>
      <c r="O12" s="567"/>
      <c r="P12" s="567"/>
      <c r="Q12" s="567"/>
      <c r="R12" s="885"/>
      <c r="S12" s="885"/>
      <c r="T12" s="885"/>
      <c r="U12" s="885"/>
      <c r="V12" s="885"/>
      <c r="W12" s="885"/>
      <c r="X12" s="885"/>
      <c r="Y12" s="885"/>
      <c r="Z12" s="885"/>
      <c r="AA12" s="885"/>
      <c r="AB12" s="885"/>
      <c r="AC12" s="885"/>
      <c r="AD12" s="885"/>
      <c r="AE12" s="885"/>
    </row>
    <row r="13" spans="1:34" s="563" customFormat="1" ht="4.5" customHeight="1">
      <c r="M13" s="567"/>
      <c r="N13" s="567"/>
      <c r="O13" s="567"/>
      <c r="P13" s="567"/>
      <c r="AE13" s="566"/>
      <c r="AF13" s="566"/>
    </row>
    <row r="14" spans="1:34" s="563" customFormat="1" ht="12.95" customHeight="1">
      <c r="B14" s="957" t="s">
        <v>3159</v>
      </c>
      <c r="C14" s="957"/>
      <c r="D14" s="957"/>
      <c r="E14" s="957"/>
      <c r="F14" s="957"/>
      <c r="G14" s="957"/>
      <c r="H14" s="957"/>
      <c r="I14" s="957"/>
      <c r="J14" s="957"/>
      <c r="K14" s="957"/>
      <c r="L14" s="957"/>
      <c r="M14" s="957"/>
      <c r="N14" s="957"/>
      <c r="O14" s="957"/>
      <c r="P14" s="957"/>
      <c r="Q14" s="957"/>
      <c r="R14" s="957"/>
      <c r="S14" s="957"/>
      <c r="T14" s="957"/>
      <c r="U14" s="957"/>
      <c r="V14" s="957"/>
      <c r="W14" s="957"/>
      <c r="X14" s="957"/>
      <c r="Y14" s="957"/>
      <c r="Z14" s="957"/>
      <c r="AA14" s="957"/>
      <c r="AB14" s="957"/>
      <c r="AC14" s="957"/>
      <c r="AD14" s="957"/>
      <c r="AE14" s="957"/>
      <c r="AF14" s="957"/>
    </row>
    <row r="15" spans="1:34" s="563" customFormat="1" ht="12" customHeight="1">
      <c r="A15" s="564"/>
      <c r="B15" s="564" t="s">
        <v>3160</v>
      </c>
    </row>
    <row r="16" spans="1:34" s="563" customFormat="1" ht="12" customHeight="1">
      <c r="A16" s="564"/>
      <c r="B16" s="564"/>
      <c r="C16" s="861" t="str">
        <f>cst_wskakunin_BUILD__address</f>
        <v>大阪府茨木市山手台2-2-2</v>
      </c>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row>
    <row r="17" spans="1:40" s="563" customFormat="1" ht="3" customHeight="1">
      <c r="A17" s="564"/>
      <c r="B17" s="564"/>
      <c r="L17" s="565"/>
      <c r="M17" s="565"/>
      <c r="O17" s="565"/>
      <c r="P17" s="565"/>
      <c r="R17" s="565"/>
      <c r="S17" s="565"/>
    </row>
    <row r="18" spans="1:40" s="563" customFormat="1" ht="12" customHeight="1">
      <c r="A18" s="564"/>
      <c r="B18" s="564" t="s">
        <v>3161</v>
      </c>
      <c r="J18" s="665" t="s">
        <v>3103</v>
      </c>
      <c r="K18" s="665"/>
      <c r="L18" s="958">
        <f ca="1">cst_shinsei_KAKUNIN_KOUFU_DATE</f>
        <v>45363</v>
      </c>
      <c r="M18" s="958"/>
      <c r="N18" s="665" t="s">
        <v>2822</v>
      </c>
      <c r="O18" s="880">
        <f ca="1">cst_shinsei_KAKUNIN_KOUFU_DATE</f>
        <v>45363</v>
      </c>
      <c r="P18" s="880"/>
      <c r="Q18" s="665" t="s">
        <v>2823</v>
      </c>
      <c r="R18" s="881">
        <f ca="1">cst_shinsei_KAKUNIN_KOUFU_DATE</f>
        <v>45363</v>
      </c>
      <c r="S18" s="881"/>
      <c r="T18" s="665" t="s">
        <v>2824</v>
      </c>
    </row>
    <row r="19" spans="1:40" s="563" customFormat="1" ht="3" customHeight="1">
      <c r="A19" s="564"/>
      <c r="B19" s="564"/>
      <c r="L19" s="565"/>
      <c r="M19" s="565"/>
      <c r="O19" s="565"/>
      <c r="P19" s="565"/>
      <c r="R19" s="565"/>
      <c r="S19" s="565"/>
    </row>
    <row r="20" spans="1:40" s="563" customFormat="1" ht="12" customHeight="1">
      <c r="A20" s="564"/>
      <c r="B20" s="564" t="s">
        <v>3162</v>
      </c>
      <c r="J20" s="959" t="s">
        <v>3123</v>
      </c>
      <c r="K20" s="959"/>
      <c r="L20" s="882" t="str">
        <f ca="1">MID(cst_shinsei_KAKUNIN_ISSUE_NO,2,2)</f>
        <v>05</v>
      </c>
      <c r="M20" s="882"/>
      <c r="N20" s="883" t="str">
        <f ca="1">MID(cst_shinsei_KAKUNIN_ISSUE_NO,4,2)</f>
        <v>確認</v>
      </c>
      <c r="O20" s="883"/>
      <c r="P20" s="883" t="str">
        <f ca="1">MID(cst_shinsei_KAKUNIN_ISSUE_NO,6,6)</f>
        <v>建築IPEC</v>
      </c>
      <c r="Q20" s="883"/>
      <c r="R20" s="883"/>
      <c r="S20" s="883"/>
      <c r="T20" s="963" t="str">
        <f ca="1">RIGHT(cst_shinsei_KAKUNIN_ISSUE_NO,5)</f>
        <v>70003</v>
      </c>
      <c r="U20" s="963"/>
      <c r="V20" s="963"/>
      <c r="W20" s="503" t="s">
        <v>2762</v>
      </c>
      <c r="AN20" s="555" t="s">
        <v>3083</v>
      </c>
    </row>
    <row r="21" spans="1:40" s="560" customFormat="1" ht="7.5" customHeight="1">
      <c r="A21" s="562"/>
      <c r="B21" s="562"/>
      <c r="P21" s="562"/>
      <c r="Q21" s="562"/>
      <c r="R21" s="562"/>
      <c r="S21" s="562"/>
      <c r="T21" s="561"/>
      <c r="U21" s="561"/>
      <c r="V21" s="561"/>
      <c r="W21" s="561"/>
      <c r="AN21" s="555" t="s">
        <v>3084</v>
      </c>
    </row>
    <row r="22" spans="1:40" s="529" customFormat="1" ht="12.95" customHeight="1">
      <c r="B22" s="960" t="s">
        <v>3163</v>
      </c>
      <c r="C22" s="961"/>
      <c r="D22" s="961"/>
      <c r="E22" s="961"/>
      <c r="F22" s="962"/>
      <c r="G22" s="663" t="s">
        <v>2745</v>
      </c>
      <c r="H22" s="559" t="s">
        <v>181</v>
      </c>
      <c r="I22" s="559"/>
      <c r="J22" s="559"/>
      <c r="K22" s="664" t="s">
        <v>2745</v>
      </c>
      <c r="L22" s="559" t="s">
        <v>3164</v>
      </c>
      <c r="M22" s="559"/>
      <c r="N22" s="559"/>
      <c r="O22" s="664" t="s">
        <v>2745</v>
      </c>
      <c r="P22" s="559" t="s">
        <v>3165</v>
      </c>
      <c r="Q22" s="559"/>
      <c r="R22" s="559"/>
      <c r="S22" s="664" t="s">
        <v>2745</v>
      </c>
      <c r="T22" s="559" t="s">
        <v>391</v>
      </c>
      <c r="U22" s="559"/>
      <c r="V22" s="559"/>
      <c r="W22" s="664" t="s">
        <v>2745</v>
      </c>
      <c r="X22" s="559" t="s">
        <v>2828</v>
      </c>
      <c r="Y22" s="559"/>
      <c r="Z22" s="559"/>
      <c r="AA22" s="559"/>
      <c r="AB22" s="664" t="s">
        <v>2745</v>
      </c>
      <c r="AC22" s="558" t="s">
        <v>2992</v>
      </c>
      <c r="AD22" s="558"/>
      <c r="AE22" s="558"/>
      <c r="AF22" s="557"/>
      <c r="AN22" s="555" t="s">
        <v>3086</v>
      </c>
    </row>
    <row r="23" spans="1:40" s="529" customFormat="1" ht="12.95" customHeight="1">
      <c r="B23" s="901" t="s">
        <v>3166</v>
      </c>
      <c r="C23" s="902"/>
      <c r="D23" s="902"/>
      <c r="E23" s="902"/>
      <c r="F23" s="944"/>
      <c r="G23" s="911" t="s">
        <v>3167</v>
      </c>
      <c r="H23" s="912"/>
      <c r="I23" s="913"/>
      <c r="J23" s="545" t="s">
        <v>3140</v>
      </c>
      <c r="K23" s="544"/>
      <c r="L23" s="544"/>
      <c r="M23" s="544"/>
      <c r="N23" s="544"/>
      <c r="O23" s="544"/>
      <c r="P23" s="544"/>
      <c r="Q23" s="544"/>
      <c r="R23" s="544"/>
      <c r="S23" s="544"/>
      <c r="T23" s="544"/>
      <c r="U23" s="544"/>
      <c r="V23" s="544"/>
      <c r="W23" s="544"/>
      <c r="X23" s="544"/>
      <c r="Y23" s="544"/>
      <c r="Z23" s="544"/>
      <c r="AA23" s="544"/>
      <c r="AB23" s="544"/>
      <c r="AC23" s="544"/>
      <c r="AD23" s="544"/>
      <c r="AE23" s="544"/>
      <c r="AF23" s="556"/>
      <c r="AN23" s="555" t="s">
        <v>3087</v>
      </c>
    </row>
    <row r="24" spans="1:40" s="529" customFormat="1" ht="12.95" customHeight="1">
      <c r="B24" s="945"/>
      <c r="C24" s="946"/>
      <c r="D24" s="946"/>
      <c r="E24" s="946"/>
      <c r="F24" s="947"/>
      <c r="G24" s="914"/>
      <c r="H24" s="888"/>
      <c r="I24" s="915"/>
      <c r="J24" s="949" t="str">
        <f>cst_wskakunin_owner1__address</f>
        <v>大阪府茨木市山手台2-2-2</v>
      </c>
      <c r="K24" s="950"/>
      <c r="L24" s="950"/>
      <c r="M24" s="950"/>
      <c r="N24" s="950"/>
      <c r="O24" s="950"/>
      <c r="P24" s="950"/>
      <c r="Q24" s="950"/>
      <c r="R24" s="950"/>
      <c r="S24" s="950"/>
      <c r="T24" s="950"/>
      <c r="U24" s="950"/>
      <c r="V24" s="950"/>
      <c r="W24" s="950"/>
      <c r="X24" s="950"/>
      <c r="Y24" s="950"/>
      <c r="Z24" s="950"/>
      <c r="AA24" s="950"/>
      <c r="AB24" s="950"/>
      <c r="AC24" s="950"/>
      <c r="AD24" s="950"/>
      <c r="AE24" s="950"/>
      <c r="AF24" s="951"/>
      <c r="AN24" s="555" t="s">
        <v>3088</v>
      </c>
    </row>
    <row r="25" spans="1:40" s="529" customFormat="1" ht="12.95" customHeight="1">
      <c r="B25" s="945"/>
      <c r="C25" s="946"/>
      <c r="D25" s="946"/>
      <c r="E25" s="946"/>
      <c r="F25" s="947"/>
      <c r="G25" s="914"/>
      <c r="H25" s="888"/>
      <c r="I25" s="915"/>
      <c r="J25" s="554" t="s">
        <v>3141</v>
      </c>
      <c r="AF25" s="536"/>
      <c r="AN25" s="555" t="s">
        <v>3091</v>
      </c>
    </row>
    <row r="26" spans="1:40" s="529" customFormat="1" ht="12.95" customHeight="1">
      <c r="B26" s="945"/>
      <c r="C26" s="946"/>
      <c r="D26" s="946"/>
      <c r="E26" s="946"/>
      <c r="F26" s="947"/>
      <c r="G26" s="926"/>
      <c r="H26" s="884"/>
      <c r="I26" s="927"/>
      <c r="J26" s="952" t="str">
        <f>cst_wskakunin_owner1__space</f>
        <v>猫山　花子</v>
      </c>
      <c r="K26" s="953"/>
      <c r="L26" s="953"/>
      <c r="M26" s="953"/>
      <c r="N26" s="953"/>
      <c r="O26" s="953"/>
      <c r="P26" s="953"/>
      <c r="Q26" s="953"/>
      <c r="R26" s="953"/>
      <c r="S26" s="953"/>
      <c r="T26" s="953"/>
      <c r="U26" s="953"/>
      <c r="V26" s="546"/>
      <c r="W26" s="884" t="s">
        <v>3045</v>
      </c>
      <c r="X26" s="884"/>
      <c r="Y26" s="922" t="e">
        <f>cst_wskakunin_owner1_TEL_dsp</f>
        <v>#VALUE!</v>
      </c>
      <c r="Z26" s="922"/>
      <c r="AA26" s="922"/>
      <c r="AB26" s="922"/>
      <c r="AC26" s="922"/>
      <c r="AD26" s="922"/>
      <c r="AE26" s="922"/>
      <c r="AF26" s="954"/>
    </row>
    <row r="27" spans="1:40" s="529" customFormat="1" ht="12.95" customHeight="1">
      <c r="B27" s="945"/>
      <c r="C27" s="946"/>
      <c r="D27" s="946"/>
      <c r="E27" s="946"/>
      <c r="F27" s="947"/>
      <c r="G27" s="911" t="s">
        <v>3168</v>
      </c>
      <c r="H27" s="912"/>
      <c r="I27" s="913"/>
      <c r="J27" s="545" t="s">
        <v>3140</v>
      </c>
      <c r="K27" s="544"/>
      <c r="L27" s="544"/>
      <c r="M27" s="544"/>
      <c r="N27" s="544"/>
      <c r="O27" s="544"/>
      <c r="P27" s="544"/>
      <c r="Q27" s="544"/>
      <c r="R27" s="544"/>
      <c r="S27" s="544"/>
      <c r="T27" s="544"/>
      <c r="U27" s="544"/>
      <c r="V27" s="544"/>
      <c r="W27" s="544"/>
      <c r="X27" s="544"/>
      <c r="Y27" s="544"/>
      <c r="Z27" s="544"/>
      <c r="AA27" s="544"/>
      <c r="AB27" s="544"/>
      <c r="AC27" s="544"/>
      <c r="AD27" s="544"/>
      <c r="AE27" s="544"/>
      <c r="AF27" s="556"/>
      <c r="AN27" s="555" t="s">
        <v>2745</v>
      </c>
    </row>
    <row r="28" spans="1:40" s="529" customFormat="1" ht="12.95" customHeight="1">
      <c r="B28" s="945"/>
      <c r="C28" s="946"/>
      <c r="D28" s="946"/>
      <c r="E28" s="946"/>
      <c r="F28" s="947"/>
      <c r="G28" s="914"/>
      <c r="H28" s="888"/>
      <c r="I28" s="915"/>
      <c r="J28" s="863"/>
      <c r="K28" s="864"/>
      <c r="L28" s="864"/>
      <c r="M28" s="864"/>
      <c r="N28" s="864"/>
      <c r="O28" s="864"/>
      <c r="P28" s="864"/>
      <c r="Q28" s="864"/>
      <c r="R28" s="864"/>
      <c r="S28" s="864"/>
      <c r="T28" s="864"/>
      <c r="U28" s="864"/>
      <c r="V28" s="864"/>
      <c r="W28" s="864"/>
      <c r="X28" s="864"/>
      <c r="Y28" s="864"/>
      <c r="Z28" s="864"/>
      <c r="AA28" s="864"/>
      <c r="AB28" s="864"/>
      <c r="AC28" s="864"/>
      <c r="AD28" s="864"/>
      <c r="AE28" s="864"/>
      <c r="AF28" s="865"/>
      <c r="AN28" s="555" t="s">
        <v>2753</v>
      </c>
    </row>
    <row r="29" spans="1:40" s="529" customFormat="1" ht="12.95" customHeight="1">
      <c r="B29" s="945"/>
      <c r="C29" s="946"/>
      <c r="D29" s="946"/>
      <c r="E29" s="946"/>
      <c r="F29" s="947"/>
      <c r="G29" s="914"/>
      <c r="H29" s="888"/>
      <c r="I29" s="915"/>
      <c r="J29" s="554" t="s">
        <v>3141</v>
      </c>
      <c r="AF29" s="536"/>
    </row>
    <row r="30" spans="1:40" s="529" customFormat="1" ht="12.95" customHeight="1">
      <c r="B30" s="903"/>
      <c r="C30" s="904"/>
      <c r="D30" s="904"/>
      <c r="E30" s="904"/>
      <c r="F30" s="948"/>
      <c r="G30" s="914"/>
      <c r="H30" s="888"/>
      <c r="I30" s="915"/>
      <c r="J30" s="955"/>
      <c r="K30" s="956"/>
      <c r="L30" s="956"/>
      <c r="M30" s="956"/>
      <c r="N30" s="956"/>
      <c r="O30" s="956"/>
      <c r="P30" s="956"/>
      <c r="Q30" s="956"/>
      <c r="R30" s="956"/>
      <c r="S30" s="956"/>
      <c r="T30" s="956"/>
      <c r="U30" s="956"/>
      <c r="W30" s="884" t="s">
        <v>3045</v>
      </c>
      <c r="X30" s="884"/>
      <c r="Y30" s="875" t="s">
        <v>3169</v>
      </c>
      <c r="Z30" s="875"/>
      <c r="AA30" s="875"/>
      <c r="AB30" s="875"/>
      <c r="AC30" s="875"/>
      <c r="AD30" s="875"/>
      <c r="AE30" s="875"/>
      <c r="AF30" s="876"/>
    </row>
    <row r="31" spans="1:40" s="529" customFormat="1" ht="12.95" customHeight="1">
      <c r="B31" s="866" t="s">
        <v>3170</v>
      </c>
      <c r="C31" s="867"/>
      <c r="D31" s="867"/>
      <c r="E31" s="867"/>
      <c r="F31" s="868"/>
      <c r="G31" s="911" t="s">
        <v>3167</v>
      </c>
      <c r="H31" s="912"/>
      <c r="I31" s="913"/>
      <c r="J31" s="545" t="s">
        <v>3171</v>
      </c>
      <c r="K31" s="552"/>
      <c r="L31" s="552"/>
      <c r="M31" s="552"/>
      <c r="N31" s="552"/>
      <c r="O31" s="937" t="str">
        <f>cst_wskakunin_dairi1__address</f>
        <v>京都府京都市中京区道場町1</v>
      </c>
      <c r="P31" s="937"/>
      <c r="Q31" s="937"/>
      <c r="R31" s="937"/>
      <c r="S31" s="937"/>
      <c r="T31" s="937"/>
      <c r="U31" s="937"/>
      <c r="V31" s="937"/>
      <c r="W31" s="937"/>
      <c r="X31" s="937"/>
      <c r="Y31" s="937"/>
      <c r="Z31" s="937"/>
      <c r="AA31" s="937"/>
      <c r="AB31" s="937"/>
      <c r="AC31" s="937"/>
      <c r="AD31" s="937"/>
      <c r="AE31" s="937"/>
      <c r="AF31" s="938"/>
      <c r="AH31" s="886"/>
    </row>
    <row r="32" spans="1:40" s="529" customFormat="1" ht="12.95" customHeight="1">
      <c r="B32" s="869"/>
      <c r="C32" s="870"/>
      <c r="D32" s="870"/>
      <c r="E32" s="870"/>
      <c r="F32" s="871"/>
      <c r="G32" s="914"/>
      <c r="H32" s="888"/>
      <c r="I32" s="915"/>
      <c r="J32" s="551" t="s">
        <v>194</v>
      </c>
      <c r="K32" s="541"/>
      <c r="L32" s="887"/>
      <c r="M32" s="887"/>
      <c r="N32" s="887"/>
      <c r="O32" s="888"/>
      <c r="P32" s="888"/>
      <c r="Q32" s="888"/>
      <c r="R32" s="888"/>
      <c r="S32" s="888"/>
      <c r="T32" s="888"/>
      <c r="W32" s="540" t="s">
        <v>3172</v>
      </c>
      <c r="X32" s="877" t="str">
        <f>cst_wskakunin_dairi1_SIKAKU</f>
        <v>一級</v>
      </c>
      <c r="Y32" s="877"/>
      <c r="Z32" s="529" t="s">
        <v>3173</v>
      </c>
      <c r="AF32" s="536"/>
      <c r="AH32" s="886"/>
    </row>
    <row r="33" spans="2:34" s="529" customFormat="1" ht="12.95" customHeight="1">
      <c r="B33" s="869"/>
      <c r="C33" s="870"/>
      <c r="D33" s="870"/>
      <c r="E33" s="870"/>
      <c r="F33" s="871"/>
      <c r="G33" s="914"/>
      <c r="H33" s="888"/>
      <c r="I33" s="915"/>
      <c r="J33" s="549"/>
      <c r="K33" s="547"/>
      <c r="L33" s="889" t="str">
        <f>cst_wskakunin_dairi1_NAME</f>
        <v>現場　猫</v>
      </c>
      <c r="M33" s="889"/>
      <c r="N33" s="889"/>
      <c r="O33" s="889"/>
      <c r="P33" s="889"/>
      <c r="Q33" s="889"/>
      <c r="R33" s="889"/>
      <c r="S33" s="889"/>
      <c r="T33" s="889"/>
      <c r="U33" s="531"/>
      <c r="V33" s="531"/>
      <c r="W33" s="548" t="s">
        <v>2868</v>
      </c>
      <c r="X33" s="889" t="str">
        <f>cst_wskakunin_dairi1_TOUROKU_KIKAN</f>
        <v>大臣</v>
      </c>
      <c r="Y33" s="889"/>
      <c r="Z33" s="889"/>
      <c r="AA33" s="547" t="s">
        <v>3067</v>
      </c>
      <c r="AB33" s="531"/>
      <c r="AC33" s="894" t="str">
        <f>cst_wskakunin_dairi1_KENTIKUSI_NO</f>
        <v>001100</v>
      </c>
      <c r="AD33" s="894"/>
      <c r="AE33" s="894"/>
      <c r="AF33" s="530" t="s">
        <v>2762</v>
      </c>
      <c r="AH33" s="886"/>
    </row>
    <row r="34" spans="2:34" s="529" customFormat="1" ht="12.95" customHeight="1">
      <c r="B34" s="869"/>
      <c r="C34" s="870"/>
      <c r="D34" s="870"/>
      <c r="E34" s="870"/>
      <c r="F34" s="871"/>
      <c r="G34" s="914"/>
      <c r="H34" s="888"/>
      <c r="I34" s="915"/>
      <c r="J34" s="550" t="s">
        <v>3174</v>
      </c>
      <c r="K34" s="539"/>
      <c r="L34" s="539"/>
      <c r="M34" s="539"/>
      <c r="N34" s="891" t="str">
        <f>cst_wskakunin_dairi1_JIMU_NAME</f>
        <v>猫建築事務所</v>
      </c>
      <c r="O34" s="891"/>
      <c r="P34" s="891"/>
      <c r="Q34" s="891"/>
      <c r="R34" s="891"/>
      <c r="S34" s="891"/>
      <c r="T34" s="891"/>
      <c r="U34" s="891"/>
      <c r="W34" s="540" t="s">
        <v>3175</v>
      </c>
      <c r="X34" s="890" t="str">
        <f>cst_wskakunin_dairi1_JIMU_SIKAKU</f>
        <v>一級</v>
      </c>
      <c r="Y34" s="890"/>
      <c r="Z34" s="529" t="s">
        <v>3176</v>
      </c>
      <c r="AF34" s="536"/>
      <c r="AH34" s="886"/>
    </row>
    <row r="35" spans="2:34" s="529" customFormat="1" ht="12.95" customHeight="1">
      <c r="B35" s="869"/>
      <c r="C35" s="870"/>
      <c r="D35" s="870"/>
      <c r="E35" s="870"/>
      <c r="F35" s="871"/>
      <c r="G35" s="914"/>
      <c r="H35" s="888"/>
      <c r="I35" s="915"/>
      <c r="J35" s="535"/>
      <c r="K35" s="533"/>
      <c r="L35" s="534" t="s">
        <v>3045</v>
      </c>
      <c r="M35" s="533"/>
      <c r="N35" s="939" t="str">
        <f>cst_wskakunin_dairi1_TEL_dsp</f>
        <v>（075）　000-0000</v>
      </c>
      <c r="O35" s="939"/>
      <c r="P35" s="939"/>
      <c r="Q35" s="939"/>
      <c r="R35" s="939"/>
      <c r="S35" s="939"/>
      <c r="T35" s="939"/>
      <c r="U35" s="939"/>
      <c r="V35" s="553" t="s">
        <v>2868</v>
      </c>
      <c r="W35" s="862" t="str">
        <f>cst_wskakunin_dairi1_JIMU_TOUROKU_KIKAN</f>
        <v>京都府</v>
      </c>
      <c r="X35" s="862"/>
      <c r="Y35" s="546" t="s">
        <v>3177</v>
      </c>
      <c r="Z35" s="546"/>
      <c r="AA35" s="546"/>
      <c r="AB35" s="546" t="s">
        <v>2831</v>
      </c>
      <c r="AC35" s="862" t="str">
        <f>cst_wskakunin_dairi1_JIMU_NO</f>
        <v>03A00000</v>
      </c>
      <c r="AD35" s="862"/>
      <c r="AE35" s="862"/>
      <c r="AF35" s="530" t="s">
        <v>2762</v>
      </c>
      <c r="AH35" s="886"/>
    </row>
    <row r="36" spans="2:34" s="529" customFormat="1" ht="12.95" customHeight="1">
      <c r="B36" s="869"/>
      <c r="C36" s="870"/>
      <c r="D36" s="870"/>
      <c r="E36" s="870"/>
      <c r="F36" s="871"/>
      <c r="G36" s="911" t="s">
        <v>3168</v>
      </c>
      <c r="H36" s="912"/>
      <c r="I36" s="913"/>
      <c r="J36" s="545" t="s">
        <v>3171</v>
      </c>
      <c r="K36" s="552"/>
      <c r="L36" s="552"/>
      <c r="M36" s="552"/>
      <c r="N36" s="552"/>
      <c r="O36" s="878"/>
      <c r="P36" s="878"/>
      <c r="Q36" s="878"/>
      <c r="R36" s="878"/>
      <c r="S36" s="878"/>
      <c r="T36" s="878"/>
      <c r="U36" s="878"/>
      <c r="V36" s="878"/>
      <c r="W36" s="878"/>
      <c r="X36" s="878"/>
      <c r="Y36" s="878"/>
      <c r="Z36" s="878"/>
      <c r="AA36" s="878"/>
      <c r="AB36" s="878"/>
      <c r="AC36" s="878"/>
      <c r="AD36" s="878"/>
      <c r="AE36" s="878"/>
      <c r="AF36" s="879"/>
      <c r="AH36" s="886"/>
    </row>
    <row r="37" spans="2:34" s="529" customFormat="1" ht="12.95" customHeight="1">
      <c r="B37" s="869"/>
      <c r="C37" s="870"/>
      <c r="D37" s="870"/>
      <c r="E37" s="870"/>
      <c r="F37" s="871"/>
      <c r="G37" s="914"/>
      <c r="H37" s="888"/>
      <c r="I37" s="915"/>
      <c r="J37" s="551" t="s">
        <v>194</v>
      </c>
      <c r="K37" s="541"/>
      <c r="L37" s="887"/>
      <c r="M37" s="887"/>
      <c r="N37" s="887"/>
      <c r="O37" s="888"/>
      <c r="P37" s="888"/>
      <c r="Q37" s="888"/>
      <c r="R37" s="888"/>
      <c r="S37" s="888"/>
      <c r="T37" s="888"/>
      <c r="W37" s="540" t="s">
        <v>3172</v>
      </c>
      <c r="X37" s="897"/>
      <c r="Y37" s="897"/>
      <c r="Z37" s="529" t="s">
        <v>3173</v>
      </c>
      <c r="AF37" s="536"/>
      <c r="AH37" s="886"/>
    </row>
    <row r="38" spans="2:34" s="529" customFormat="1" ht="12.95" customHeight="1">
      <c r="B38" s="869"/>
      <c r="C38" s="870"/>
      <c r="D38" s="870"/>
      <c r="E38" s="870"/>
      <c r="F38" s="871"/>
      <c r="G38" s="914"/>
      <c r="H38" s="888"/>
      <c r="I38" s="915"/>
      <c r="J38" s="549"/>
      <c r="K38" s="547"/>
      <c r="L38" s="892"/>
      <c r="M38" s="892"/>
      <c r="N38" s="892"/>
      <c r="O38" s="892"/>
      <c r="P38" s="892"/>
      <c r="Q38" s="892"/>
      <c r="R38" s="892"/>
      <c r="S38" s="892"/>
      <c r="T38" s="892"/>
      <c r="U38" s="531"/>
      <c r="V38" s="531"/>
      <c r="W38" s="548" t="s">
        <v>2868</v>
      </c>
      <c r="X38" s="892"/>
      <c r="Y38" s="892"/>
      <c r="Z38" s="892"/>
      <c r="AA38" s="547" t="s">
        <v>3067</v>
      </c>
      <c r="AB38" s="531"/>
      <c r="AC38" s="893"/>
      <c r="AD38" s="893"/>
      <c r="AE38" s="893"/>
      <c r="AF38" s="530" t="s">
        <v>2762</v>
      </c>
      <c r="AH38" s="886"/>
    </row>
    <row r="39" spans="2:34" s="529" customFormat="1" ht="12.95" customHeight="1">
      <c r="B39" s="869"/>
      <c r="C39" s="870"/>
      <c r="D39" s="870"/>
      <c r="E39" s="870"/>
      <c r="F39" s="871"/>
      <c r="G39" s="914"/>
      <c r="H39" s="888"/>
      <c r="I39" s="915"/>
      <c r="J39" s="550" t="s">
        <v>3174</v>
      </c>
      <c r="K39" s="539"/>
      <c r="L39" s="539"/>
      <c r="M39" s="539"/>
      <c r="N39" s="898"/>
      <c r="O39" s="898"/>
      <c r="P39" s="898"/>
      <c r="Q39" s="898"/>
      <c r="R39" s="898"/>
      <c r="S39" s="898"/>
      <c r="T39" s="898"/>
      <c r="U39" s="898"/>
      <c r="W39" s="540" t="s">
        <v>3175</v>
      </c>
      <c r="X39" s="899"/>
      <c r="Y39" s="899"/>
      <c r="Z39" s="529" t="s">
        <v>3176</v>
      </c>
      <c r="AF39" s="536"/>
      <c r="AH39" s="886"/>
    </row>
    <row r="40" spans="2:34" s="529" customFormat="1" ht="12.95" customHeight="1">
      <c r="B40" s="872"/>
      <c r="C40" s="873"/>
      <c r="D40" s="873"/>
      <c r="E40" s="873"/>
      <c r="F40" s="874"/>
      <c r="G40" s="926"/>
      <c r="H40" s="884"/>
      <c r="I40" s="927"/>
      <c r="J40" s="535"/>
      <c r="K40" s="533"/>
      <c r="L40" s="534" t="s">
        <v>3045</v>
      </c>
      <c r="M40" s="533"/>
      <c r="N40" s="900" t="s">
        <v>3178</v>
      </c>
      <c r="O40" s="900"/>
      <c r="P40" s="900"/>
      <c r="Q40" s="900"/>
      <c r="R40" s="900"/>
      <c r="S40" s="900"/>
      <c r="T40" s="900"/>
      <c r="U40" s="900"/>
      <c r="V40" s="553" t="s">
        <v>2868</v>
      </c>
      <c r="W40" s="860"/>
      <c r="X40" s="860"/>
      <c r="Y40" s="546" t="s">
        <v>3177</v>
      </c>
      <c r="Z40" s="546"/>
      <c r="AA40" s="546"/>
      <c r="AB40" s="546" t="s">
        <v>2831</v>
      </c>
      <c r="AC40" s="860"/>
      <c r="AD40" s="860"/>
      <c r="AE40" s="860"/>
      <c r="AF40" s="530" t="s">
        <v>2762</v>
      </c>
      <c r="AH40" s="886"/>
    </row>
    <row r="41" spans="2:34" s="529" customFormat="1" ht="12.95" customHeight="1">
      <c r="B41" s="866" t="s">
        <v>3179</v>
      </c>
      <c r="C41" s="867"/>
      <c r="D41" s="867"/>
      <c r="E41" s="867"/>
      <c r="F41" s="868"/>
      <c r="G41" s="911" t="s">
        <v>3167</v>
      </c>
      <c r="H41" s="912"/>
      <c r="I41" s="913"/>
      <c r="J41" s="545" t="s">
        <v>3171</v>
      </c>
      <c r="K41" s="552"/>
      <c r="L41" s="552"/>
      <c r="M41" s="552"/>
      <c r="N41" s="552"/>
      <c r="O41" s="895" t="str">
        <f>cst_wskakunin_kanri1__address</f>
        <v>京都府京都市中京区道場町1</v>
      </c>
      <c r="P41" s="895"/>
      <c r="Q41" s="895"/>
      <c r="R41" s="895"/>
      <c r="S41" s="895"/>
      <c r="T41" s="895"/>
      <c r="U41" s="895"/>
      <c r="V41" s="895"/>
      <c r="W41" s="895"/>
      <c r="X41" s="895"/>
      <c r="Y41" s="895"/>
      <c r="Z41" s="895"/>
      <c r="AA41" s="895"/>
      <c r="AB41" s="895"/>
      <c r="AC41" s="895"/>
      <c r="AD41" s="895"/>
      <c r="AE41" s="895"/>
      <c r="AF41" s="896"/>
    </row>
    <row r="42" spans="2:34" s="529" customFormat="1" ht="12.95" customHeight="1">
      <c r="B42" s="869"/>
      <c r="C42" s="870"/>
      <c r="D42" s="870"/>
      <c r="E42" s="870"/>
      <c r="F42" s="871"/>
      <c r="G42" s="914"/>
      <c r="H42" s="888"/>
      <c r="I42" s="915"/>
      <c r="J42" s="551" t="s">
        <v>194</v>
      </c>
      <c r="K42" s="541"/>
      <c r="L42" s="887"/>
      <c r="M42" s="887"/>
      <c r="N42" s="887"/>
      <c r="O42" s="888"/>
      <c r="P42" s="888"/>
      <c r="Q42" s="888"/>
      <c r="R42" s="888"/>
      <c r="S42" s="888"/>
      <c r="T42" s="888"/>
      <c r="W42" s="540" t="s">
        <v>3172</v>
      </c>
      <c r="X42" s="877" t="str">
        <f>cst_wskakunin_kanri1_SIKAKU</f>
        <v>一級</v>
      </c>
      <c r="Y42" s="877"/>
      <c r="Z42" s="529" t="s">
        <v>3173</v>
      </c>
      <c r="AF42" s="536"/>
    </row>
    <row r="43" spans="2:34" s="529" customFormat="1" ht="12.95" customHeight="1">
      <c r="B43" s="869"/>
      <c r="C43" s="870"/>
      <c r="D43" s="870"/>
      <c r="E43" s="870"/>
      <c r="F43" s="871"/>
      <c r="G43" s="914"/>
      <c r="H43" s="888"/>
      <c r="I43" s="915"/>
      <c r="J43" s="549"/>
      <c r="K43" s="547"/>
      <c r="L43" s="889" t="str">
        <f>cst_wskakunin_kanri1_NAME</f>
        <v>現場　猫</v>
      </c>
      <c r="M43" s="889"/>
      <c r="N43" s="889"/>
      <c r="O43" s="889"/>
      <c r="P43" s="889"/>
      <c r="Q43" s="889"/>
      <c r="R43" s="889"/>
      <c r="S43" s="889"/>
      <c r="T43" s="889"/>
      <c r="U43" s="531"/>
      <c r="V43" s="531"/>
      <c r="W43" s="548" t="s">
        <v>2868</v>
      </c>
      <c r="X43" s="889" t="str">
        <f>cst_wskakunin_kanri1_TOUROKU_KIKAN</f>
        <v>大臣</v>
      </c>
      <c r="Y43" s="889"/>
      <c r="Z43" s="889"/>
      <c r="AA43" s="547" t="s">
        <v>3067</v>
      </c>
      <c r="AB43" s="531"/>
      <c r="AC43" s="894" t="str">
        <f>cst_wskakunin_kanri1_KENTIKUSI_NO</f>
        <v>001100</v>
      </c>
      <c r="AD43" s="894"/>
      <c r="AE43" s="894"/>
      <c r="AF43" s="530" t="s">
        <v>2762</v>
      </c>
    </row>
    <row r="44" spans="2:34" s="529" customFormat="1" ht="12.95" customHeight="1">
      <c r="B44" s="869"/>
      <c r="C44" s="870"/>
      <c r="D44" s="870"/>
      <c r="E44" s="870"/>
      <c r="F44" s="871"/>
      <c r="G44" s="914"/>
      <c r="H44" s="888"/>
      <c r="I44" s="915"/>
      <c r="J44" s="550" t="s">
        <v>3174</v>
      </c>
      <c r="K44" s="539"/>
      <c r="L44" s="539"/>
      <c r="M44" s="539"/>
      <c r="N44" s="891" t="str">
        <f>cst_wskakunin_kanri1_JIMU_NAME</f>
        <v>猫建築事務所</v>
      </c>
      <c r="O44" s="891"/>
      <c r="P44" s="891"/>
      <c r="Q44" s="891"/>
      <c r="R44" s="891"/>
      <c r="S44" s="891"/>
      <c r="T44" s="891"/>
      <c r="U44" s="891"/>
      <c r="W44" s="540" t="s">
        <v>3175</v>
      </c>
      <c r="X44" s="890" t="str">
        <f>cst_wskakunin_kanri1_JIMU_SIKAKU</f>
        <v>一級</v>
      </c>
      <c r="Y44" s="890"/>
      <c r="Z44" s="529" t="s">
        <v>3176</v>
      </c>
      <c r="AF44" s="536"/>
    </row>
    <row r="45" spans="2:34" s="529" customFormat="1" ht="12.95" customHeight="1">
      <c r="B45" s="869"/>
      <c r="C45" s="870"/>
      <c r="D45" s="870"/>
      <c r="E45" s="870"/>
      <c r="F45" s="871"/>
      <c r="G45" s="914"/>
      <c r="H45" s="888"/>
      <c r="I45" s="915"/>
      <c r="J45" s="549"/>
      <c r="K45" s="547"/>
      <c r="L45" s="548" t="s">
        <v>3045</v>
      </c>
      <c r="M45" s="547"/>
      <c r="N45" s="942" t="str">
        <f>cst_wskakunin_kanri1_TEL_dsp</f>
        <v>（075）　000-0000</v>
      </c>
      <c r="O45" s="942"/>
      <c r="P45" s="942"/>
      <c r="Q45" s="942"/>
      <c r="R45" s="942"/>
      <c r="S45" s="942"/>
      <c r="T45" s="942"/>
      <c r="U45" s="942"/>
      <c r="V45" s="532" t="s">
        <v>2868</v>
      </c>
      <c r="W45" s="894" t="str">
        <f>cst_wskakunin_kanri1_JIMU_TOUROKU_KIKAN</f>
        <v>京都府</v>
      </c>
      <c r="X45" s="894"/>
      <c r="Y45" s="531" t="s">
        <v>3177</v>
      </c>
      <c r="Z45" s="531"/>
      <c r="AA45" s="531"/>
      <c r="AB45" s="531" t="s">
        <v>2831</v>
      </c>
      <c r="AC45" s="894" t="str">
        <f>cst_wskakunin_kanri1_JIMU_NO</f>
        <v>03A00000</v>
      </c>
      <c r="AD45" s="894"/>
      <c r="AE45" s="894"/>
      <c r="AF45" s="530" t="s">
        <v>2762</v>
      </c>
    </row>
    <row r="46" spans="2:34" s="529" customFormat="1" ht="12.95" customHeight="1">
      <c r="B46" s="869"/>
      <c r="C46" s="870"/>
      <c r="D46" s="870"/>
      <c r="E46" s="870"/>
      <c r="F46" s="871"/>
      <c r="G46" s="926"/>
      <c r="H46" s="884"/>
      <c r="I46" s="927"/>
      <c r="J46" s="928" t="s">
        <v>3180</v>
      </c>
      <c r="K46" s="929"/>
      <c r="L46" s="929"/>
      <c r="M46" s="929"/>
      <c r="N46" s="929"/>
      <c r="O46" s="929"/>
      <c r="P46" s="929"/>
      <c r="Q46" s="922" t="str">
        <f>cst_wskakunin_kanri1_DOC</f>
        <v>全ての設計図書</v>
      </c>
      <c r="R46" s="922"/>
      <c r="S46" s="922"/>
      <c r="T46" s="922"/>
      <c r="U46" s="922"/>
      <c r="V46" s="940"/>
      <c r="W46" s="940"/>
      <c r="X46" s="940"/>
      <c r="Y46" s="940"/>
      <c r="Z46" s="940"/>
      <c r="AA46" s="940"/>
      <c r="AB46" s="940"/>
      <c r="AC46" s="940"/>
      <c r="AD46" s="940"/>
      <c r="AE46" s="940"/>
      <c r="AF46" s="941"/>
    </row>
    <row r="47" spans="2:34" s="529" customFormat="1" ht="12.95" customHeight="1">
      <c r="B47" s="869"/>
      <c r="C47" s="870"/>
      <c r="D47" s="870"/>
      <c r="E47" s="870"/>
      <c r="F47" s="871"/>
      <c r="G47" s="911" t="s">
        <v>3168</v>
      </c>
      <c r="H47" s="912"/>
      <c r="I47" s="913"/>
      <c r="J47" s="545" t="s">
        <v>3171</v>
      </c>
      <c r="K47" s="552"/>
      <c r="L47" s="552"/>
      <c r="M47" s="552"/>
      <c r="N47" s="552"/>
      <c r="O47" s="878"/>
      <c r="P47" s="878"/>
      <c r="Q47" s="878"/>
      <c r="R47" s="878"/>
      <c r="S47" s="878"/>
      <c r="T47" s="878"/>
      <c r="U47" s="878"/>
      <c r="V47" s="878"/>
      <c r="W47" s="878"/>
      <c r="X47" s="878"/>
      <c r="Y47" s="878"/>
      <c r="Z47" s="878"/>
      <c r="AA47" s="878"/>
      <c r="AB47" s="878"/>
      <c r="AC47" s="878"/>
      <c r="AD47" s="878"/>
      <c r="AE47" s="878"/>
      <c r="AF47" s="879"/>
    </row>
    <row r="48" spans="2:34" s="529" customFormat="1" ht="12.95" customHeight="1">
      <c r="B48" s="869"/>
      <c r="C48" s="870"/>
      <c r="D48" s="870"/>
      <c r="E48" s="870"/>
      <c r="F48" s="871"/>
      <c r="G48" s="914"/>
      <c r="H48" s="888"/>
      <c r="I48" s="915"/>
      <c r="J48" s="551" t="s">
        <v>194</v>
      </c>
      <c r="K48" s="541"/>
      <c r="L48" s="887"/>
      <c r="M48" s="887"/>
      <c r="N48" s="887"/>
      <c r="O48" s="888"/>
      <c r="P48" s="888"/>
      <c r="Q48" s="888"/>
      <c r="R48" s="888"/>
      <c r="S48" s="888"/>
      <c r="T48" s="888"/>
      <c r="W48" s="540" t="s">
        <v>3172</v>
      </c>
      <c r="X48" s="897"/>
      <c r="Y48" s="897"/>
      <c r="Z48" s="529" t="s">
        <v>3173</v>
      </c>
      <c r="AF48" s="536"/>
    </row>
    <row r="49" spans="2:32" s="529" customFormat="1" ht="12.95" customHeight="1">
      <c r="B49" s="869"/>
      <c r="C49" s="870"/>
      <c r="D49" s="870"/>
      <c r="E49" s="870"/>
      <c r="F49" s="871"/>
      <c r="G49" s="914"/>
      <c r="H49" s="888"/>
      <c r="I49" s="915"/>
      <c r="J49" s="549"/>
      <c r="K49" s="547"/>
      <c r="L49" s="892"/>
      <c r="M49" s="892"/>
      <c r="N49" s="892"/>
      <c r="O49" s="892"/>
      <c r="P49" s="892"/>
      <c r="Q49" s="892"/>
      <c r="R49" s="892"/>
      <c r="S49" s="892"/>
      <c r="T49" s="892"/>
      <c r="U49" s="531"/>
      <c r="V49" s="531"/>
      <c r="W49" s="548" t="s">
        <v>2868</v>
      </c>
      <c r="X49" s="892"/>
      <c r="Y49" s="892"/>
      <c r="Z49" s="892"/>
      <c r="AA49" s="547" t="s">
        <v>3067</v>
      </c>
      <c r="AB49" s="531"/>
      <c r="AC49" s="893"/>
      <c r="AD49" s="893"/>
      <c r="AE49" s="893"/>
      <c r="AF49" s="530" t="s">
        <v>2762</v>
      </c>
    </row>
    <row r="50" spans="2:32" s="529" customFormat="1" ht="12.95" customHeight="1">
      <c r="B50" s="869"/>
      <c r="C50" s="870"/>
      <c r="D50" s="870"/>
      <c r="E50" s="870"/>
      <c r="F50" s="871"/>
      <c r="G50" s="914"/>
      <c r="H50" s="888"/>
      <c r="I50" s="915"/>
      <c r="J50" s="550" t="s">
        <v>3174</v>
      </c>
      <c r="K50" s="539"/>
      <c r="L50" s="539"/>
      <c r="M50" s="539"/>
      <c r="N50" s="898"/>
      <c r="O50" s="898"/>
      <c r="P50" s="898"/>
      <c r="Q50" s="898"/>
      <c r="R50" s="898"/>
      <c r="S50" s="898"/>
      <c r="T50" s="898"/>
      <c r="U50" s="898"/>
      <c r="W50" s="540" t="s">
        <v>3175</v>
      </c>
      <c r="X50" s="899"/>
      <c r="Y50" s="899"/>
      <c r="Z50" s="529" t="s">
        <v>3176</v>
      </c>
      <c r="AF50" s="536"/>
    </row>
    <row r="51" spans="2:32" s="529" customFormat="1" ht="12.95" customHeight="1">
      <c r="B51" s="869"/>
      <c r="C51" s="870"/>
      <c r="D51" s="870"/>
      <c r="E51" s="870"/>
      <c r="F51" s="871"/>
      <c r="G51" s="914"/>
      <c r="H51" s="888"/>
      <c r="I51" s="915"/>
      <c r="J51" s="549"/>
      <c r="K51" s="547"/>
      <c r="L51" s="548" t="s">
        <v>3045</v>
      </c>
      <c r="M51" s="547"/>
      <c r="N51" s="930" t="s">
        <v>3178</v>
      </c>
      <c r="O51" s="930"/>
      <c r="P51" s="930"/>
      <c r="Q51" s="930"/>
      <c r="R51" s="930"/>
      <c r="S51" s="930"/>
      <c r="T51" s="930"/>
      <c r="U51" s="930"/>
      <c r="V51" s="532" t="s">
        <v>2868</v>
      </c>
      <c r="W51" s="893"/>
      <c r="X51" s="893"/>
      <c r="Y51" s="531" t="s">
        <v>3177</v>
      </c>
      <c r="Z51" s="531"/>
      <c r="AA51" s="531"/>
      <c r="AB51" s="531" t="s">
        <v>2831</v>
      </c>
      <c r="AC51" s="893"/>
      <c r="AD51" s="893"/>
      <c r="AE51" s="893"/>
      <c r="AF51" s="530" t="s">
        <v>2762</v>
      </c>
    </row>
    <row r="52" spans="2:32" s="529" customFormat="1" ht="12.95" customHeight="1">
      <c r="B52" s="872"/>
      <c r="C52" s="873"/>
      <c r="D52" s="873"/>
      <c r="E52" s="873"/>
      <c r="F52" s="874"/>
      <c r="G52" s="926"/>
      <c r="H52" s="884"/>
      <c r="I52" s="927"/>
      <c r="J52" s="928" t="s">
        <v>3180</v>
      </c>
      <c r="K52" s="929"/>
      <c r="L52" s="929"/>
      <c r="M52" s="929"/>
      <c r="N52" s="929"/>
      <c r="O52" s="929"/>
      <c r="P52" s="929"/>
      <c r="Q52" s="875"/>
      <c r="R52" s="875"/>
      <c r="S52" s="875"/>
      <c r="T52" s="875"/>
      <c r="U52" s="875"/>
      <c r="V52" s="931"/>
      <c r="W52" s="931"/>
      <c r="X52" s="931"/>
      <c r="Y52" s="931"/>
      <c r="Z52" s="931"/>
      <c r="AA52" s="931"/>
      <c r="AB52" s="931"/>
      <c r="AC52" s="931"/>
      <c r="AD52" s="931"/>
      <c r="AE52" s="931"/>
      <c r="AF52" s="932"/>
    </row>
    <row r="53" spans="2:32" s="529" customFormat="1" ht="12.95" customHeight="1">
      <c r="B53" s="866" t="s">
        <v>1466</v>
      </c>
      <c r="C53" s="867"/>
      <c r="D53" s="867"/>
      <c r="E53" s="867"/>
      <c r="F53" s="868"/>
      <c r="G53" s="911" t="s">
        <v>3167</v>
      </c>
      <c r="H53" s="912"/>
      <c r="I53" s="913"/>
      <c r="J53" s="545" t="s">
        <v>3140</v>
      </c>
      <c r="K53" s="544"/>
      <c r="L53" s="544"/>
      <c r="M53" s="544"/>
      <c r="N53" s="544"/>
      <c r="O53" s="543"/>
      <c r="P53" s="543"/>
      <c r="Q53" s="543"/>
      <c r="R53" s="543"/>
      <c r="S53" s="543"/>
      <c r="T53" s="543"/>
      <c r="U53" s="543"/>
      <c r="V53" s="543"/>
      <c r="W53" s="543"/>
      <c r="X53" s="543"/>
      <c r="Y53" s="543"/>
      <c r="Z53" s="543"/>
      <c r="AA53" s="543"/>
      <c r="AB53" s="543"/>
      <c r="AC53" s="543"/>
      <c r="AD53" s="543"/>
      <c r="AE53" s="543"/>
      <c r="AF53" s="542"/>
    </row>
    <row r="54" spans="2:32" s="529" customFormat="1" ht="12.95" customHeight="1">
      <c r="B54" s="869"/>
      <c r="C54" s="870"/>
      <c r="D54" s="870"/>
      <c r="E54" s="870"/>
      <c r="F54" s="871"/>
      <c r="G54" s="914"/>
      <c r="H54" s="888"/>
      <c r="I54" s="915"/>
      <c r="J54" s="923" t="str">
        <f>cst_wskakunin_sekou1__address</f>
        <v>京都府向日市上植野町落掘17-1</v>
      </c>
      <c r="K54" s="924"/>
      <c r="L54" s="924"/>
      <c r="M54" s="924"/>
      <c r="N54" s="924"/>
      <c r="O54" s="924"/>
      <c r="P54" s="924"/>
      <c r="Q54" s="924"/>
      <c r="R54" s="924"/>
      <c r="S54" s="924"/>
      <c r="T54" s="924"/>
      <c r="U54" s="924"/>
      <c r="V54" s="924"/>
      <c r="W54" s="924"/>
      <c r="X54" s="924"/>
      <c r="Y54" s="924"/>
      <c r="Z54" s="924"/>
      <c r="AA54" s="924"/>
      <c r="AB54" s="924"/>
      <c r="AC54" s="924"/>
      <c r="AD54" s="924"/>
      <c r="AE54" s="924"/>
      <c r="AF54" s="925"/>
    </row>
    <row r="55" spans="2:32" s="529" customFormat="1" ht="12.95" customHeight="1">
      <c r="B55" s="869"/>
      <c r="C55" s="870"/>
      <c r="D55" s="870"/>
      <c r="E55" s="870"/>
      <c r="F55" s="871"/>
      <c r="G55" s="914"/>
      <c r="H55" s="888"/>
      <c r="I55" s="915"/>
      <c r="J55" s="918" t="s">
        <v>3141</v>
      </c>
      <c r="K55" s="919"/>
      <c r="L55" s="919"/>
      <c r="M55" s="919"/>
      <c r="N55" s="919"/>
      <c r="O55" s="919"/>
      <c r="P55" s="919"/>
      <c r="Q55" s="919"/>
      <c r="R55" s="919"/>
      <c r="S55" s="919"/>
      <c r="T55" s="919"/>
      <c r="U55" s="541"/>
      <c r="V55" s="529" t="s">
        <v>1474</v>
      </c>
      <c r="W55" s="540"/>
      <c r="X55" s="539"/>
      <c r="Y55" s="539"/>
      <c r="AF55" s="536"/>
    </row>
    <row r="56" spans="2:32" s="529" customFormat="1" ht="12.95" customHeight="1">
      <c r="B56" s="869"/>
      <c r="C56" s="870"/>
      <c r="D56" s="870"/>
      <c r="E56" s="870"/>
      <c r="F56" s="871"/>
      <c r="G56" s="914"/>
      <c r="H56" s="888"/>
      <c r="I56" s="915"/>
      <c r="J56" s="933" t="str">
        <f>cst_wskakunin_sekou1_NAME</f>
        <v>代表取締役　波夛野　賢</v>
      </c>
      <c r="K56" s="934"/>
      <c r="L56" s="934"/>
      <c r="M56" s="934"/>
      <c r="N56" s="934"/>
      <c r="O56" s="934"/>
      <c r="P56" s="934"/>
      <c r="Q56" s="934"/>
      <c r="R56" s="934"/>
      <c r="S56" s="934"/>
      <c r="T56" s="934"/>
      <c r="V56" s="662" t="s">
        <v>2745</v>
      </c>
      <c r="W56" s="529" t="s">
        <v>3181</v>
      </c>
      <c r="X56" s="538"/>
      <c r="Y56" s="538"/>
      <c r="Z56" s="538"/>
      <c r="AA56" s="538"/>
      <c r="AB56" s="662" t="s">
        <v>2745</v>
      </c>
      <c r="AC56" s="529" t="s">
        <v>3182</v>
      </c>
      <c r="AD56" s="537"/>
      <c r="AE56" s="537"/>
      <c r="AF56" s="536"/>
    </row>
    <row r="57" spans="2:32" s="529" customFormat="1" ht="12.95" customHeight="1">
      <c r="B57" s="869"/>
      <c r="C57" s="870"/>
      <c r="D57" s="870"/>
      <c r="E57" s="870"/>
      <c r="F57" s="871"/>
      <c r="G57" s="914"/>
      <c r="H57" s="888"/>
      <c r="I57" s="915"/>
      <c r="J57" s="535"/>
      <c r="K57" s="533"/>
      <c r="L57" s="534" t="s">
        <v>3045</v>
      </c>
      <c r="M57" s="533"/>
      <c r="N57" s="922" t="str">
        <f>cst_wskakunin_sekou1_TEL_dsp</f>
        <v>（075）　931-1191</v>
      </c>
      <c r="O57" s="922"/>
      <c r="P57" s="922"/>
      <c r="Q57" s="922"/>
      <c r="R57" s="922"/>
      <c r="S57" s="922"/>
      <c r="T57" s="922"/>
      <c r="U57" s="533"/>
      <c r="V57" s="532" t="s">
        <v>2868</v>
      </c>
      <c r="W57" s="862" t="str">
        <f>cst_wskakunin_sekou1_SEKOU_SIKAKU</f>
        <v>京都府知事</v>
      </c>
      <c r="X57" s="862"/>
      <c r="Y57" s="862"/>
      <c r="Z57" s="531" t="s">
        <v>3183</v>
      </c>
      <c r="AA57" s="531"/>
      <c r="AB57" s="935" t="str">
        <f>cst_wskakunin_sekou1_SEKOU_NO</f>
        <v>般-3　1675</v>
      </c>
      <c r="AC57" s="935"/>
      <c r="AD57" s="935"/>
      <c r="AE57" s="935"/>
      <c r="AF57" s="530" t="s">
        <v>2762</v>
      </c>
    </row>
    <row r="58" spans="2:32" s="529" customFormat="1" ht="12.95" customHeight="1">
      <c r="B58" s="869"/>
      <c r="C58" s="870"/>
      <c r="D58" s="870"/>
      <c r="E58" s="870"/>
      <c r="F58" s="871"/>
      <c r="G58" s="911" t="s">
        <v>3168</v>
      </c>
      <c r="H58" s="912"/>
      <c r="I58" s="913"/>
      <c r="J58" s="545" t="s">
        <v>3140</v>
      </c>
      <c r="K58" s="544"/>
      <c r="L58" s="544"/>
      <c r="M58" s="544"/>
      <c r="N58" s="544"/>
      <c r="O58" s="543"/>
      <c r="P58" s="543"/>
      <c r="Q58" s="543"/>
      <c r="R58" s="543"/>
      <c r="S58" s="543"/>
      <c r="T58" s="543"/>
      <c r="U58" s="543"/>
      <c r="V58" s="543"/>
      <c r="W58" s="543"/>
      <c r="X58" s="543"/>
      <c r="Y58" s="543"/>
      <c r="Z58" s="543"/>
      <c r="AA58" s="543"/>
      <c r="AB58" s="543"/>
      <c r="AC58" s="543"/>
      <c r="AD58" s="543"/>
      <c r="AE58" s="543"/>
      <c r="AF58" s="542"/>
    </row>
    <row r="59" spans="2:32" s="529" customFormat="1" ht="12.95" customHeight="1">
      <c r="B59" s="869"/>
      <c r="C59" s="870"/>
      <c r="D59" s="870"/>
      <c r="E59" s="870"/>
      <c r="F59" s="871"/>
      <c r="G59" s="914"/>
      <c r="H59" s="888"/>
      <c r="I59" s="915"/>
      <c r="J59" s="916"/>
      <c r="K59" s="892"/>
      <c r="L59" s="892"/>
      <c r="M59" s="892"/>
      <c r="N59" s="892"/>
      <c r="O59" s="892"/>
      <c r="P59" s="892"/>
      <c r="Q59" s="892"/>
      <c r="R59" s="892"/>
      <c r="S59" s="892"/>
      <c r="T59" s="892"/>
      <c r="U59" s="892"/>
      <c r="V59" s="892"/>
      <c r="W59" s="892"/>
      <c r="X59" s="892"/>
      <c r="Y59" s="892"/>
      <c r="Z59" s="892"/>
      <c r="AA59" s="892"/>
      <c r="AB59" s="892"/>
      <c r="AC59" s="892"/>
      <c r="AD59" s="892"/>
      <c r="AE59" s="892"/>
      <c r="AF59" s="917"/>
    </row>
    <row r="60" spans="2:32" s="529" customFormat="1" ht="12.95" customHeight="1">
      <c r="B60" s="869"/>
      <c r="C60" s="870"/>
      <c r="D60" s="870"/>
      <c r="E60" s="870"/>
      <c r="F60" s="871"/>
      <c r="G60" s="914"/>
      <c r="H60" s="888"/>
      <c r="I60" s="915"/>
      <c r="J60" s="918" t="s">
        <v>3141</v>
      </c>
      <c r="K60" s="919"/>
      <c r="L60" s="919"/>
      <c r="M60" s="919"/>
      <c r="N60" s="919"/>
      <c r="O60" s="919"/>
      <c r="P60" s="919"/>
      <c r="Q60" s="919"/>
      <c r="R60" s="919"/>
      <c r="S60" s="919"/>
      <c r="T60" s="919"/>
      <c r="U60" s="541"/>
      <c r="V60" s="529" t="s">
        <v>1474</v>
      </c>
      <c r="W60" s="540"/>
      <c r="X60" s="539"/>
      <c r="Y60" s="539"/>
      <c r="AF60" s="536"/>
    </row>
    <row r="61" spans="2:32" s="529" customFormat="1" ht="12.95" customHeight="1">
      <c r="B61" s="869"/>
      <c r="C61" s="870"/>
      <c r="D61" s="870"/>
      <c r="E61" s="870"/>
      <c r="F61" s="871"/>
      <c r="G61" s="914"/>
      <c r="H61" s="888"/>
      <c r="I61" s="915"/>
      <c r="J61" s="920"/>
      <c r="K61" s="921"/>
      <c r="L61" s="921"/>
      <c r="M61" s="921"/>
      <c r="N61" s="921"/>
      <c r="O61" s="921"/>
      <c r="P61" s="921"/>
      <c r="Q61" s="921"/>
      <c r="R61" s="921"/>
      <c r="S61" s="921"/>
      <c r="T61" s="921"/>
      <c r="V61" s="662" t="s">
        <v>2745</v>
      </c>
      <c r="W61" s="529" t="s">
        <v>3181</v>
      </c>
      <c r="X61" s="538"/>
      <c r="Y61" s="538"/>
      <c r="Z61" s="538"/>
      <c r="AA61" s="538"/>
      <c r="AB61" s="662" t="s">
        <v>2745</v>
      </c>
      <c r="AC61" s="529" t="s">
        <v>3182</v>
      </c>
      <c r="AD61" s="537"/>
      <c r="AE61" s="537"/>
      <c r="AF61" s="536"/>
    </row>
    <row r="62" spans="2:32" s="529" customFormat="1" ht="12.95" customHeight="1">
      <c r="B62" s="872"/>
      <c r="C62" s="873"/>
      <c r="D62" s="873"/>
      <c r="E62" s="873"/>
      <c r="F62" s="874"/>
      <c r="G62" s="914"/>
      <c r="H62" s="888"/>
      <c r="I62" s="915"/>
      <c r="J62" s="535"/>
      <c r="K62" s="533"/>
      <c r="L62" s="534" t="s">
        <v>3045</v>
      </c>
      <c r="M62" s="533"/>
      <c r="N62" s="875" t="s">
        <v>3178</v>
      </c>
      <c r="O62" s="875"/>
      <c r="P62" s="875"/>
      <c r="Q62" s="875"/>
      <c r="R62" s="875"/>
      <c r="S62" s="875"/>
      <c r="T62" s="875"/>
      <c r="U62" s="533"/>
      <c r="V62" s="532" t="s">
        <v>2868</v>
      </c>
      <c r="W62" s="860"/>
      <c r="X62" s="860"/>
      <c r="Y62" s="860"/>
      <c r="Z62" s="531" t="s">
        <v>3183</v>
      </c>
      <c r="AA62" s="531"/>
      <c r="AB62" s="936"/>
      <c r="AC62" s="936"/>
      <c r="AD62" s="936"/>
      <c r="AE62" s="936"/>
      <c r="AF62" s="530" t="s">
        <v>2762</v>
      </c>
    </row>
    <row r="63" spans="2:32" s="529" customFormat="1" ht="12.95" customHeight="1">
      <c r="B63" s="901" t="s">
        <v>3184</v>
      </c>
      <c r="C63" s="902"/>
      <c r="D63" s="902"/>
      <c r="E63" s="902"/>
      <c r="F63" s="902"/>
      <c r="G63" s="905"/>
      <c r="H63" s="906"/>
      <c r="I63" s="906"/>
      <c r="J63" s="906"/>
      <c r="K63" s="906"/>
      <c r="L63" s="906"/>
      <c r="M63" s="906"/>
      <c r="N63" s="906"/>
      <c r="O63" s="906"/>
      <c r="P63" s="906"/>
      <c r="Q63" s="906"/>
      <c r="R63" s="906"/>
      <c r="S63" s="906"/>
      <c r="T63" s="906"/>
      <c r="U63" s="906"/>
      <c r="V63" s="906"/>
      <c r="W63" s="906"/>
      <c r="X63" s="906"/>
      <c r="Y63" s="906"/>
      <c r="Z63" s="906"/>
      <c r="AA63" s="906"/>
      <c r="AB63" s="906"/>
      <c r="AC63" s="906"/>
      <c r="AD63" s="906"/>
      <c r="AE63" s="906"/>
      <c r="AF63" s="907"/>
    </row>
    <row r="64" spans="2:32" s="529" customFormat="1" ht="12.95" customHeight="1">
      <c r="B64" s="903"/>
      <c r="C64" s="904"/>
      <c r="D64" s="904"/>
      <c r="E64" s="904"/>
      <c r="F64" s="904"/>
      <c r="G64" s="908"/>
      <c r="H64" s="909"/>
      <c r="I64" s="909"/>
      <c r="J64" s="909"/>
      <c r="K64" s="909"/>
      <c r="L64" s="909"/>
      <c r="M64" s="909"/>
      <c r="N64" s="909"/>
      <c r="O64" s="909"/>
      <c r="P64" s="909"/>
      <c r="Q64" s="909"/>
      <c r="R64" s="909"/>
      <c r="S64" s="909"/>
      <c r="T64" s="909"/>
      <c r="U64" s="909"/>
      <c r="V64" s="909"/>
      <c r="W64" s="909"/>
      <c r="X64" s="909"/>
      <c r="Y64" s="909"/>
      <c r="Z64" s="909"/>
      <c r="AA64" s="909"/>
      <c r="AB64" s="909"/>
      <c r="AC64" s="909"/>
      <c r="AD64" s="909"/>
      <c r="AE64" s="909"/>
      <c r="AF64" s="910"/>
    </row>
    <row r="65" spans="2:24" ht="12" customHeight="1">
      <c r="B65" s="529" t="s">
        <v>3185</v>
      </c>
      <c r="C65" s="529"/>
      <c r="D65" s="529"/>
      <c r="E65" s="529"/>
      <c r="F65" s="529"/>
      <c r="G65" s="529"/>
      <c r="H65" s="529"/>
      <c r="I65" s="529"/>
      <c r="J65" s="529"/>
      <c r="K65" s="529"/>
      <c r="L65" s="529"/>
      <c r="M65" s="529"/>
      <c r="N65" s="529"/>
      <c r="O65" s="529"/>
      <c r="P65" s="529"/>
      <c r="Q65" s="529"/>
      <c r="R65" s="529"/>
      <c r="S65" s="529" t="s">
        <v>3186</v>
      </c>
      <c r="T65" s="529"/>
      <c r="V65" s="529"/>
      <c r="W65" s="529"/>
      <c r="X65" s="529"/>
    </row>
    <row r="66" spans="2:24" ht="12" customHeight="1">
      <c r="B66" s="529" t="s">
        <v>3187</v>
      </c>
      <c r="D66" s="529"/>
      <c r="E66" s="529"/>
      <c r="F66" s="529"/>
      <c r="G66" s="529"/>
      <c r="H66" s="529"/>
      <c r="I66" s="529"/>
      <c r="J66" s="529"/>
      <c r="K66" s="529"/>
      <c r="L66" s="529"/>
      <c r="M66" s="529"/>
      <c r="N66" s="529"/>
      <c r="O66" s="529"/>
      <c r="P66" s="529"/>
      <c r="Q66" s="529"/>
      <c r="R66" s="529"/>
      <c r="S66" s="529" t="s">
        <v>3188</v>
      </c>
      <c r="T66" s="529"/>
      <c r="V66" s="529"/>
      <c r="W66" s="529"/>
      <c r="X66" s="529"/>
    </row>
    <row r="67" spans="2:24" ht="6" customHeight="1"/>
  </sheetData>
  <mergeCells count="99">
    <mergeCell ref="R8:AE9"/>
    <mergeCell ref="B23:F30"/>
    <mergeCell ref="G27:I30"/>
    <mergeCell ref="W26:X26"/>
    <mergeCell ref="G23:I26"/>
    <mergeCell ref="J24:AF24"/>
    <mergeCell ref="J26:U26"/>
    <mergeCell ref="Y26:AF26"/>
    <mergeCell ref="J30:U30"/>
    <mergeCell ref="B14:AF14"/>
    <mergeCell ref="L18:M18"/>
    <mergeCell ref="J20:K20"/>
    <mergeCell ref="B22:F22"/>
    <mergeCell ref="T20:V20"/>
    <mergeCell ref="G41:I46"/>
    <mergeCell ref="G31:I35"/>
    <mergeCell ref="O31:AF31"/>
    <mergeCell ref="G36:I40"/>
    <mergeCell ref="AC33:AE33"/>
    <mergeCell ref="N35:U35"/>
    <mergeCell ref="L37:T37"/>
    <mergeCell ref="AC45:AE45"/>
    <mergeCell ref="J46:P46"/>
    <mergeCell ref="Q46:AF46"/>
    <mergeCell ref="N45:U45"/>
    <mergeCell ref="L38:T38"/>
    <mergeCell ref="W45:X45"/>
    <mergeCell ref="J56:T56"/>
    <mergeCell ref="W57:Y57"/>
    <mergeCell ref="AB57:AE57"/>
    <mergeCell ref="W62:Y62"/>
    <mergeCell ref="AB62:AE62"/>
    <mergeCell ref="N62:T62"/>
    <mergeCell ref="W51:X51"/>
    <mergeCell ref="G47:I52"/>
    <mergeCell ref="J52:P52"/>
    <mergeCell ref="L48:T48"/>
    <mergeCell ref="X48:Y48"/>
    <mergeCell ref="N51:U51"/>
    <mergeCell ref="Q52:AF52"/>
    <mergeCell ref="AC51:AE51"/>
    <mergeCell ref="L49:T49"/>
    <mergeCell ref="O47:AF47"/>
    <mergeCell ref="AC49:AE49"/>
    <mergeCell ref="B63:F64"/>
    <mergeCell ref="G63:AF63"/>
    <mergeCell ref="G64:AF64"/>
    <mergeCell ref="B41:F52"/>
    <mergeCell ref="G58:I62"/>
    <mergeCell ref="J59:AF59"/>
    <mergeCell ref="J60:T60"/>
    <mergeCell ref="J61:T61"/>
    <mergeCell ref="N57:T57"/>
    <mergeCell ref="N50:U50"/>
    <mergeCell ref="X49:Z49"/>
    <mergeCell ref="B53:F62"/>
    <mergeCell ref="G53:I57"/>
    <mergeCell ref="J54:AF54"/>
    <mergeCell ref="J55:T55"/>
    <mergeCell ref="X50:Y50"/>
    <mergeCell ref="AH36:AH40"/>
    <mergeCell ref="L43:T43"/>
    <mergeCell ref="X43:Z43"/>
    <mergeCell ref="N44:U44"/>
    <mergeCell ref="X38:Z38"/>
    <mergeCell ref="AC38:AE38"/>
    <mergeCell ref="X42:Y42"/>
    <mergeCell ref="AC43:AE43"/>
    <mergeCell ref="O41:AF41"/>
    <mergeCell ref="X37:Y37"/>
    <mergeCell ref="X44:Y44"/>
    <mergeCell ref="N39:U39"/>
    <mergeCell ref="X39:Y39"/>
    <mergeCell ref="W40:X40"/>
    <mergeCell ref="L42:T42"/>
    <mergeCell ref="N40:U40"/>
    <mergeCell ref="AH31:AH35"/>
    <mergeCell ref="L32:T32"/>
    <mergeCell ref="X33:Z33"/>
    <mergeCell ref="X34:Y34"/>
    <mergeCell ref="N34:U34"/>
    <mergeCell ref="L33:T33"/>
    <mergeCell ref="AC35:AE35"/>
    <mergeCell ref="B2:AD2"/>
    <mergeCell ref="AC40:AE40"/>
    <mergeCell ref="C16:AD16"/>
    <mergeCell ref="W35:X35"/>
    <mergeCell ref="J28:AF28"/>
    <mergeCell ref="B31:F40"/>
    <mergeCell ref="Y30:AF30"/>
    <mergeCell ref="X32:Y32"/>
    <mergeCell ref="O36:AF36"/>
    <mergeCell ref="O18:P18"/>
    <mergeCell ref="R18:S18"/>
    <mergeCell ref="L20:M20"/>
    <mergeCell ref="N20:O20"/>
    <mergeCell ref="P20:S20"/>
    <mergeCell ref="W30:X30"/>
    <mergeCell ref="R11:AE12"/>
  </mergeCells>
  <phoneticPr fontId="7"/>
  <dataValidations count="4">
    <dataValidation type="list" allowBlank="1" showInputMessage="1" sqref="N20:O20" xr:uid="{B2F7FB0D-81D3-4A76-A242-251CA5CAC963}">
      <formula1>"　 ,確認,確更"</formula1>
    </dataValidation>
    <dataValidation type="list" allowBlank="1" showInputMessage="1" sqref="P20:S20" xr:uid="{F2760472-3D16-47FB-9C90-9A6D80278141}">
      <formula1>"　,建築ＩＰＥＣ,昇降ＩＰＥＣ,工作ＩＰＥＣ,設備ＩＰＥＣ"</formula1>
    </dataValidation>
    <dataValidation type="list" allowBlank="1" showInputMessage="1" showErrorMessage="1" sqref="K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K65557:O65557 JG65557:JK65557 TC65557:TG65557 ACY65557:ADC65557 AMU65557:AMY65557 AWQ65557:AWU65557 BGM65557:BGQ65557 BQI65557:BQM65557 CAE65557:CAI65557 CKA65557:CKE65557 CTW65557:CUA65557 DDS65557:DDW65557 DNO65557:DNS65557 DXK65557:DXO65557 EHG65557:EHK65557 ERC65557:ERG65557 FAY65557:FBC65557 FKU65557:FKY65557 FUQ65557:FUU65557 GEM65557:GEQ65557 GOI65557:GOM65557 GYE65557:GYI65557 HIA65557:HIE65557 HRW65557:HSA65557 IBS65557:IBW65557 ILO65557:ILS65557 IVK65557:IVO65557 JFG65557:JFK65557 JPC65557:JPG65557 JYY65557:JZC65557 KIU65557:KIY65557 KSQ65557:KSU65557 LCM65557:LCQ65557 LMI65557:LMM65557 LWE65557:LWI65557 MGA65557:MGE65557 MPW65557:MQA65557 MZS65557:MZW65557 NJO65557:NJS65557 NTK65557:NTO65557 ODG65557:ODK65557 ONC65557:ONG65557 OWY65557:OXC65557 PGU65557:PGY65557 PQQ65557:PQU65557 QAM65557:QAQ65557 QKI65557:QKM65557 QUE65557:QUI65557 REA65557:REE65557 RNW65557:ROA65557 RXS65557:RXW65557 SHO65557:SHS65557 SRK65557:SRO65557 TBG65557:TBK65557 TLC65557:TLG65557 TUY65557:TVC65557 UEU65557:UEY65557 UOQ65557:UOU65557 UYM65557:UYQ65557 VII65557:VIM65557 VSE65557:VSI65557 WCA65557:WCE65557 WLW65557:WMA65557 WVS65557:WVW65557 K131093:O131093 JG131093:JK131093 TC131093:TG131093 ACY131093:ADC131093 AMU131093:AMY131093 AWQ131093:AWU131093 BGM131093:BGQ131093 BQI131093:BQM131093 CAE131093:CAI131093 CKA131093:CKE131093 CTW131093:CUA131093 DDS131093:DDW131093 DNO131093:DNS131093 DXK131093:DXO131093 EHG131093:EHK131093 ERC131093:ERG131093 FAY131093:FBC131093 FKU131093:FKY131093 FUQ131093:FUU131093 GEM131093:GEQ131093 GOI131093:GOM131093 GYE131093:GYI131093 HIA131093:HIE131093 HRW131093:HSA131093 IBS131093:IBW131093 ILO131093:ILS131093 IVK131093:IVO131093 JFG131093:JFK131093 JPC131093:JPG131093 JYY131093:JZC131093 KIU131093:KIY131093 KSQ131093:KSU131093 LCM131093:LCQ131093 LMI131093:LMM131093 LWE131093:LWI131093 MGA131093:MGE131093 MPW131093:MQA131093 MZS131093:MZW131093 NJO131093:NJS131093 NTK131093:NTO131093 ODG131093:ODK131093 ONC131093:ONG131093 OWY131093:OXC131093 PGU131093:PGY131093 PQQ131093:PQU131093 QAM131093:QAQ131093 QKI131093:QKM131093 QUE131093:QUI131093 REA131093:REE131093 RNW131093:ROA131093 RXS131093:RXW131093 SHO131093:SHS131093 SRK131093:SRO131093 TBG131093:TBK131093 TLC131093:TLG131093 TUY131093:TVC131093 UEU131093:UEY131093 UOQ131093:UOU131093 UYM131093:UYQ131093 VII131093:VIM131093 VSE131093:VSI131093 WCA131093:WCE131093 WLW131093:WMA131093 WVS131093:WVW131093 K196629:O196629 JG196629:JK196629 TC196629:TG196629 ACY196629:ADC196629 AMU196629:AMY196629 AWQ196629:AWU196629 BGM196629:BGQ196629 BQI196629:BQM196629 CAE196629:CAI196629 CKA196629:CKE196629 CTW196629:CUA196629 DDS196629:DDW196629 DNO196629:DNS196629 DXK196629:DXO196629 EHG196629:EHK196629 ERC196629:ERG196629 FAY196629:FBC196629 FKU196629:FKY196629 FUQ196629:FUU196629 GEM196629:GEQ196629 GOI196629:GOM196629 GYE196629:GYI196629 HIA196629:HIE196629 HRW196629:HSA196629 IBS196629:IBW196629 ILO196629:ILS196629 IVK196629:IVO196629 JFG196629:JFK196629 JPC196629:JPG196629 JYY196629:JZC196629 KIU196629:KIY196629 KSQ196629:KSU196629 LCM196629:LCQ196629 LMI196629:LMM196629 LWE196629:LWI196629 MGA196629:MGE196629 MPW196629:MQA196629 MZS196629:MZW196629 NJO196629:NJS196629 NTK196629:NTO196629 ODG196629:ODK196629 ONC196629:ONG196629 OWY196629:OXC196629 PGU196629:PGY196629 PQQ196629:PQU196629 QAM196629:QAQ196629 QKI196629:QKM196629 QUE196629:QUI196629 REA196629:REE196629 RNW196629:ROA196629 RXS196629:RXW196629 SHO196629:SHS196629 SRK196629:SRO196629 TBG196629:TBK196629 TLC196629:TLG196629 TUY196629:TVC196629 UEU196629:UEY196629 UOQ196629:UOU196629 UYM196629:UYQ196629 VII196629:VIM196629 VSE196629:VSI196629 WCA196629:WCE196629 WLW196629:WMA196629 WVS196629:WVW196629 K262165:O262165 JG262165:JK262165 TC262165:TG262165 ACY262165:ADC262165 AMU262165:AMY262165 AWQ262165:AWU262165 BGM262165:BGQ262165 BQI262165:BQM262165 CAE262165:CAI262165 CKA262165:CKE262165 CTW262165:CUA262165 DDS262165:DDW262165 DNO262165:DNS262165 DXK262165:DXO262165 EHG262165:EHK262165 ERC262165:ERG262165 FAY262165:FBC262165 FKU262165:FKY262165 FUQ262165:FUU262165 GEM262165:GEQ262165 GOI262165:GOM262165 GYE262165:GYI262165 HIA262165:HIE262165 HRW262165:HSA262165 IBS262165:IBW262165 ILO262165:ILS262165 IVK262165:IVO262165 JFG262165:JFK262165 JPC262165:JPG262165 JYY262165:JZC262165 KIU262165:KIY262165 KSQ262165:KSU262165 LCM262165:LCQ262165 LMI262165:LMM262165 LWE262165:LWI262165 MGA262165:MGE262165 MPW262165:MQA262165 MZS262165:MZW262165 NJO262165:NJS262165 NTK262165:NTO262165 ODG262165:ODK262165 ONC262165:ONG262165 OWY262165:OXC262165 PGU262165:PGY262165 PQQ262165:PQU262165 QAM262165:QAQ262165 QKI262165:QKM262165 QUE262165:QUI262165 REA262165:REE262165 RNW262165:ROA262165 RXS262165:RXW262165 SHO262165:SHS262165 SRK262165:SRO262165 TBG262165:TBK262165 TLC262165:TLG262165 TUY262165:TVC262165 UEU262165:UEY262165 UOQ262165:UOU262165 UYM262165:UYQ262165 VII262165:VIM262165 VSE262165:VSI262165 WCA262165:WCE262165 WLW262165:WMA262165 WVS262165:WVW262165 K327701:O327701 JG327701:JK327701 TC327701:TG327701 ACY327701:ADC327701 AMU327701:AMY327701 AWQ327701:AWU327701 BGM327701:BGQ327701 BQI327701:BQM327701 CAE327701:CAI327701 CKA327701:CKE327701 CTW327701:CUA327701 DDS327701:DDW327701 DNO327701:DNS327701 DXK327701:DXO327701 EHG327701:EHK327701 ERC327701:ERG327701 FAY327701:FBC327701 FKU327701:FKY327701 FUQ327701:FUU327701 GEM327701:GEQ327701 GOI327701:GOM327701 GYE327701:GYI327701 HIA327701:HIE327701 HRW327701:HSA327701 IBS327701:IBW327701 ILO327701:ILS327701 IVK327701:IVO327701 JFG327701:JFK327701 JPC327701:JPG327701 JYY327701:JZC327701 KIU327701:KIY327701 KSQ327701:KSU327701 LCM327701:LCQ327701 LMI327701:LMM327701 LWE327701:LWI327701 MGA327701:MGE327701 MPW327701:MQA327701 MZS327701:MZW327701 NJO327701:NJS327701 NTK327701:NTO327701 ODG327701:ODK327701 ONC327701:ONG327701 OWY327701:OXC327701 PGU327701:PGY327701 PQQ327701:PQU327701 QAM327701:QAQ327701 QKI327701:QKM327701 QUE327701:QUI327701 REA327701:REE327701 RNW327701:ROA327701 RXS327701:RXW327701 SHO327701:SHS327701 SRK327701:SRO327701 TBG327701:TBK327701 TLC327701:TLG327701 TUY327701:TVC327701 UEU327701:UEY327701 UOQ327701:UOU327701 UYM327701:UYQ327701 VII327701:VIM327701 VSE327701:VSI327701 WCA327701:WCE327701 WLW327701:WMA327701 WVS327701:WVW327701 K393237:O393237 JG393237:JK393237 TC393237:TG393237 ACY393237:ADC393237 AMU393237:AMY393237 AWQ393237:AWU393237 BGM393237:BGQ393237 BQI393237:BQM393237 CAE393237:CAI393237 CKA393237:CKE393237 CTW393237:CUA393237 DDS393237:DDW393237 DNO393237:DNS393237 DXK393237:DXO393237 EHG393237:EHK393237 ERC393237:ERG393237 FAY393237:FBC393237 FKU393237:FKY393237 FUQ393237:FUU393237 GEM393237:GEQ393237 GOI393237:GOM393237 GYE393237:GYI393237 HIA393237:HIE393237 HRW393237:HSA393237 IBS393237:IBW393237 ILO393237:ILS393237 IVK393237:IVO393237 JFG393237:JFK393237 JPC393237:JPG393237 JYY393237:JZC393237 KIU393237:KIY393237 KSQ393237:KSU393237 LCM393237:LCQ393237 LMI393237:LMM393237 LWE393237:LWI393237 MGA393237:MGE393237 MPW393237:MQA393237 MZS393237:MZW393237 NJO393237:NJS393237 NTK393237:NTO393237 ODG393237:ODK393237 ONC393237:ONG393237 OWY393237:OXC393237 PGU393237:PGY393237 PQQ393237:PQU393237 QAM393237:QAQ393237 QKI393237:QKM393237 QUE393237:QUI393237 REA393237:REE393237 RNW393237:ROA393237 RXS393237:RXW393237 SHO393237:SHS393237 SRK393237:SRO393237 TBG393237:TBK393237 TLC393237:TLG393237 TUY393237:TVC393237 UEU393237:UEY393237 UOQ393237:UOU393237 UYM393237:UYQ393237 VII393237:VIM393237 VSE393237:VSI393237 WCA393237:WCE393237 WLW393237:WMA393237 WVS393237:WVW393237 K458773:O458773 JG458773:JK458773 TC458773:TG458773 ACY458773:ADC458773 AMU458773:AMY458773 AWQ458773:AWU458773 BGM458773:BGQ458773 BQI458773:BQM458773 CAE458773:CAI458773 CKA458773:CKE458773 CTW458773:CUA458773 DDS458773:DDW458773 DNO458773:DNS458773 DXK458773:DXO458773 EHG458773:EHK458773 ERC458773:ERG458773 FAY458773:FBC458773 FKU458773:FKY458773 FUQ458773:FUU458773 GEM458773:GEQ458773 GOI458773:GOM458773 GYE458773:GYI458773 HIA458773:HIE458773 HRW458773:HSA458773 IBS458773:IBW458773 ILO458773:ILS458773 IVK458773:IVO458773 JFG458773:JFK458773 JPC458773:JPG458773 JYY458773:JZC458773 KIU458773:KIY458773 KSQ458773:KSU458773 LCM458773:LCQ458773 LMI458773:LMM458773 LWE458773:LWI458773 MGA458773:MGE458773 MPW458773:MQA458773 MZS458773:MZW458773 NJO458773:NJS458773 NTK458773:NTO458773 ODG458773:ODK458773 ONC458773:ONG458773 OWY458773:OXC458773 PGU458773:PGY458773 PQQ458773:PQU458773 QAM458773:QAQ458773 QKI458773:QKM458773 QUE458773:QUI458773 REA458773:REE458773 RNW458773:ROA458773 RXS458773:RXW458773 SHO458773:SHS458773 SRK458773:SRO458773 TBG458773:TBK458773 TLC458773:TLG458773 TUY458773:TVC458773 UEU458773:UEY458773 UOQ458773:UOU458773 UYM458773:UYQ458773 VII458773:VIM458773 VSE458773:VSI458773 WCA458773:WCE458773 WLW458773:WMA458773 WVS458773:WVW458773 K524309:O524309 JG524309:JK524309 TC524309:TG524309 ACY524309:ADC524309 AMU524309:AMY524309 AWQ524309:AWU524309 BGM524309:BGQ524309 BQI524309:BQM524309 CAE524309:CAI524309 CKA524309:CKE524309 CTW524309:CUA524309 DDS524309:DDW524309 DNO524309:DNS524309 DXK524309:DXO524309 EHG524309:EHK524309 ERC524309:ERG524309 FAY524309:FBC524309 FKU524309:FKY524309 FUQ524309:FUU524309 GEM524309:GEQ524309 GOI524309:GOM524309 GYE524309:GYI524309 HIA524309:HIE524309 HRW524309:HSA524309 IBS524309:IBW524309 ILO524309:ILS524309 IVK524309:IVO524309 JFG524309:JFK524309 JPC524309:JPG524309 JYY524309:JZC524309 KIU524309:KIY524309 KSQ524309:KSU524309 LCM524309:LCQ524309 LMI524309:LMM524309 LWE524309:LWI524309 MGA524309:MGE524309 MPW524309:MQA524309 MZS524309:MZW524309 NJO524309:NJS524309 NTK524309:NTO524309 ODG524309:ODK524309 ONC524309:ONG524309 OWY524309:OXC524309 PGU524309:PGY524309 PQQ524309:PQU524309 QAM524309:QAQ524309 QKI524309:QKM524309 QUE524309:QUI524309 REA524309:REE524309 RNW524309:ROA524309 RXS524309:RXW524309 SHO524309:SHS524309 SRK524309:SRO524309 TBG524309:TBK524309 TLC524309:TLG524309 TUY524309:TVC524309 UEU524309:UEY524309 UOQ524309:UOU524309 UYM524309:UYQ524309 VII524309:VIM524309 VSE524309:VSI524309 WCA524309:WCE524309 WLW524309:WMA524309 WVS524309:WVW524309 K589845:O589845 JG589845:JK589845 TC589845:TG589845 ACY589845:ADC589845 AMU589845:AMY589845 AWQ589845:AWU589845 BGM589845:BGQ589845 BQI589845:BQM589845 CAE589845:CAI589845 CKA589845:CKE589845 CTW589845:CUA589845 DDS589845:DDW589845 DNO589845:DNS589845 DXK589845:DXO589845 EHG589845:EHK589845 ERC589845:ERG589845 FAY589845:FBC589845 FKU589845:FKY589845 FUQ589845:FUU589845 GEM589845:GEQ589845 GOI589845:GOM589845 GYE589845:GYI589845 HIA589845:HIE589845 HRW589845:HSA589845 IBS589845:IBW589845 ILO589845:ILS589845 IVK589845:IVO589845 JFG589845:JFK589845 JPC589845:JPG589845 JYY589845:JZC589845 KIU589845:KIY589845 KSQ589845:KSU589845 LCM589845:LCQ589845 LMI589845:LMM589845 LWE589845:LWI589845 MGA589845:MGE589845 MPW589845:MQA589845 MZS589845:MZW589845 NJO589845:NJS589845 NTK589845:NTO589845 ODG589845:ODK589845 ONC589845:ONG589845 OWY589845:OXC589845 PGU589845:PGY589845 PQQ589845:PQU589845 QAM589845:QAQ589845 QKI589845:QKM589845 QUE589845:QUI589845 REA589845:REE589845 RNW589845:ROA589845 RXS589845:RXW589845 SHO589845:SHS589845 SRK589845:SRO589845 TBG589845:TBK589845 TLC589845:TLG589845 TUY589845:TVC589845 UEU589845:UEY589845 UOQ589845:UOU589845 UYM589845:UYQ589845 VII589845:VIM589845 VSE589845:VSI589845 WCA589845:WCE589845 WLW589845:WMA589845 WVS589845:WVW589845 K655381:O655381 JG655381:JK655381 TC655381:TG655381 ACY655381:ADC655381 AMU655381:AMY655381 AWQ655381:AWU655381 BGM655381:BGQ655381 BQI655381:BQM655381 CAE655381:CAI655381 CKA655381:CKE655381 CTW655381:CUA655381 DDS655381:DDW655381 DNO655381:DNS655381 DXK655381:DXO655381 EHG655381:EHK655381 ERC655381:ERG655381 FAY655381:FBC655381 FKU655381:FKY655381 FUQ655381:FUU655381 GEM655381:GEQ655381 GOI655381:GOM655381 GYE655381:GYI655381 HIA655381:HIE655381 HRW655381:HSA655381 IBS655381:IBW655381 ILO655381:ILS655381 IVK655381:IVO655381 JFG655381:JFK655381 JPC655381:JPG655381 JYY655381:JZC655381 KIU655381:KIY655381 KSQ655381:KSU655381 LCM655381:LCQ655381 LMI655381:LMM655381 LWE655381:LWI655381 MGA655381:MGE655381 MPW655381:MQA655381 MZS655381:MZW655381 NJO655381:NJS655381 NTK655381:NTO655381 ODG655381:ODK655381 ONC655381:ONG655381 OWY655381:OXC655381 PGU655381:PGY655381 PQQ655381:PQU655381 QAM655381:QAQ655381 QKI655381:QKM655381 QUE655381:QUI655381 REA655381:REE655381 RNW655381:ROA655381 RXS655381:RXW655381 SHO655381:SHS655381 SRK655381:SRO655381 TBG655381:TBK655381 TLC655381:TLG655381 TUY655381:TVC655381 UEU655381:UEY655381 UOQ655381:UOU655381 UYM655381:UYQ655381 VII655381:VIM655381 VSE655381:VSI655381 WCA655381:WCE655381 WLW655381:WMA655381 WVS655381:WVW655381 K720917:O720917 JG720917:JK720917 TC720917:TG720917 ACY720917:ADC720917 AMU720917:AMY720917 AWQ720917:AWU720917 BGM720917:BGQ720917 BQI720917:BQM720917 CAE720917:CAI720917 CKA720917:CKE720917 CTW720917:CUA720917 DDS720917:DDW720917 DNO720917:DNS720917 DXK720917:DXO720917 EHG720917:EHK720917 ERC720917:ERG720917 FAY720917:FBC720917 FKU720917:FKY720917 FUQ720917:FUU720917 GEM720917:GEQ720917 GOI720917:GOM720917 GYE720917:GYI720917 HIA720917:HIE720917 HRW720917:HSA720917 IBS720917:IBW720917 ILO720917:ILS720917 IVK720917:IVO720917 JFG720917:JFK720917 JPC720917:JPG720917 JYY720917:JZC720917 KIU720917:KIY720917 KSQ720917:KSU720917 LCM720917:LCQ720917 LMI720917:LMM720917 LWE720917:LWI720917 MGA720917:MGE720917 MPW720917:MQA720917 MZS720917:MZW720917 NJO720917:NJS720917 NTK720917:NTO720917 ODG720917:ODK720917 ONC720917:ONG720917 OWY720917:OXC720917 PGU720917:PGY720917 PQQ720917:PQU720917 QAM720917:QAQ720917 QKI720917:QKM720917 QUE720917:QUI720917 REA720917:REE720917 RNW720917:ROA720917 RXS720917:RXW720917 SHO720917:SHS720917 SRK720917:SRO720917 TBG720917:TBK720917 TLC720917:TLG720917 TUY720917:TVC720917 UEU720917:UEY720917 UOQ720917:UOU720917 UYM720917:UYQ720917 VII720917:VIM720917 VSE720917:VSI720917 WCA720917:WCE720917 WLW720917:WMA720917 WVS720917:WVW720917 K786453:O786453 JG786453:JK786453 TC786453:TG786453 ACY786453:ADC786453 AMU786453:AMY786453 AWQ786453:AWU786453 BGM786453:BGQ786453 BQI786453:BQM786453 CAE786453:CAI786453 CKA786453:CKE786453 CTW786453:CUA786453 DDS786453:DDW786453 DNO786453:DNS786453 DXK786453:DXO786453 EHG786453:EHK786453 ERC786453:ERG786453 FAY786453:FBC786453 FKU786453:FKY786453 FUQ786453:FUU786453 GEM786453:GEQ786453 GOI786453:GOM786453 GYE786453:GYI786453 HIA786453:HIE786453 HRW786453:HSA786453 IBS786453:IBW786453 ILO786453:ILS786453 IVK786453:IVO786453 JFG786453:JFK786453 JPC786453:JPG786453 JYY786453:JZC786453 KIU786453:KIY786453 KSQ786453:KSU786453 LCM786453:LCQ786453 LMI786453:LMM786453 LWE786453:LWI786453 MGA786453:MGE786453 MPW786453:MQA786453 MZS786453:MZW786453 NJO786453:NJS786453 NTK786453:NTO786453 ODG786453:ODK786453 ONC786453:ONG786453 OWY786453:OXC786453 PGU786453:PGY786453 PQQ786453:PQU786453 QAM786453:QAQ786453 QKI786453:QKM786453 QUE786453:QUI786453 REA786453:REE786453 RNW786453:ROA786453 RXS786453:RXW786453 SHO786453:SHS786453 SRK786453:SRO786453 TBG786453:TBK786453 TLC786453:TLG786453 TUY786453:TVC786453 UEU786453:UEY786453 UOQ786453:UOU786453 UYM786453:UYQ786453 VII786453:VIM786453 VSE786453:VSI786453 WCA786453:WCE786453 WLW786453:WMA786453 WVS786453:WVW786453 K851989:O851989 JG851989:JK851989 TC851989:TG851989 ACY851989:ADC851989 AMU851989:AMY851989 AWQ851989:AWU851989 BGM851989:BGQ851989 BQI851989:BQM851989 CAE851989:CAI851989 CKA851989:CKE851989 CTW851989:CUA851989 DDS851989:DDW851989 DNO851989:DNS851989 DXK851989:DXO851989 EHG851989:EHK851989 ERC851989:ERG851989 FAY851989:FBC851989 FKU851989:FKY851989 FUQ851989:FUU851989 GEM851989:GEQ851989 GOI851989:GOM851989 GYE851989:GYI851989 HIA851989:HIE851989 HRW851989:HSA851989 IBS851989:IBW851989 ILO851989:ILS851989 IVK851989:IVO851989 JFG851989:JFK851989 JPC851989:JPG851989 JYY851989:JZC851989 KIU851989:KIY851989 KSQ851989:KSU851989 LCM851989:LCQ851989 LMI851989:LMM851989 LWE851989:LWI851989 MGA851989:MGE851989 MPW851989:MQA851989 MZS851989:MZW851989 NJO851989:NJS851989 NTK851989:NTO851989 ODG851989:ODK851989 ONC851989:ONG851989 OWY851989:OXC851989 PGU851989:PGY851989 PQQ851989:PQU851989 QAM851989:QAQ851989 QKI851989:QKM851989 QUE851989:QUI851989 REA851989:REE851989 RNW851989:ROA851989 RXS851989:RXW851989 SHO851989:SHS851989 SRK851989:SRO851989 TBG851989:TBK851989 TLC851989:TLG851989 TUY851989:TVC851989 UEU851989:UEY851989 UOQ851989:UOU851989 UYM851989:UYQ851989 VII851989:VIM851989 VSE851989:VSI851989 WCA851989:WCE851989 WLW851989:WMA851989 WVS851989:WVW851989 K917525:O917525 JG917525:JK917525 TC917525:TG917525 ACY917525:ADC917525 AMU917525:AMY917525 AWQ917525:AWU917525 BGM917525:BGQ917525 BQI917525:BQM917525 CAE917525:CAI917525 CKA917525:CKE917525 CTW917525:CUA917525 DDS917525:DDW917525 DNO917525:DNS917525 DXK917525:DXO917525 EHG917525:EHK917525 ERC917525:ERG917525 FAY917525:FBC917525 FKU917525:FKY917525 FUQ917525:FUU917525 GEM917525:GEQ917525 GOI917525:GOM917525 GYE917525:GYI917525 HIA917525:HIE917525 HRW917525:HSA917525 IBS917525:IBW917525 ILO917525:ILS917525 IVK917525:IVO917525 JFG917525:JFK917525 JPC917525:JPG917525 JYY917525:JZC917525 KIU917525:KIY917525 KSQ917525:KSU917525 LCM917525:LCQ917525 LMI917525:LMM917525 LWE917525:LWI917525 MGA917525:MGE917525 MPW917525:MQA917525 MZS917525:MZW917525 NJO917525:NJS917525 NTK917525:NTO917525 ODG917525:ODK917525 ONC917525:ONG917525 OWY917525:OXC917525 PGU917525:PGY917525 PQQ917525:PQU917525 QAM917525:QAQ917525 QKI917525:QKM917525 QUE917525:QUI917525 REA917525:REE917525 RNW917525:ROA917525 RXS917525:RXW917525 SHO917525:SHS917525 SRK917525:SRO917525 TBG917525:TBK917525 TLC917525:TLG917525 TUY917525:TVC917525 UEU917525:UEY917525 UOQ917525:UOU917525 UYM917525:UYQ917525 VII917525:VIM917525 VSE917525:VSI917525 WCA917525:WCE917525 WLW917525:WMA917525 WVS917525:WVW917525 K983061:O983061 JG983061:JK983061 TC983061:TG983061 ACY983061:ADC983061 AMU983061:AMY983061 AWQ983061:AWU983061 BGM983061:BGQ983061 BQI983061:BQM983061 CAE983061:CAI983061 CKA983061:CKE983061 CTW983061:CUA983061 DDS983061:DDW983061 DNO983061:DNS983061 DXK983061:DXO983061 EHG983061:EHK983061 ERC983061:ERG983061 FAY983061:FBC983061 FKU983061:FKY983061 FUQ983061:FUU983061 GEM983061:GEQ983061 GOI983061:GOM983061 GYE983061:GYI983061 HIA983061:HIE983061 HRW983061:HSA983061 IBS983061:IBW983061 ILO983061:ILS983061 IVK983061:IVO983061 JFG983061:JFK983061 JPC983061:JPG983061 JYY983061:JZC983061 KIU983061:KIY983061 KSQ983061:KSU983061 LCM983061:LCQ983061 LMI983061:LMM983061 LWE983061:LWI983061 MGA983061:MGE983061 MPW983061:MQA983061 MZS983061:MZW983061 NJO983061:NJS983061 NTK983061:NTO983061 ODG983061:ODK983061 ONC983061:ONG983061 OWY983061:OXC983061 PGU983061:PGY983061 PQQ983061:PQU983061 QAM983061:QAQ983061 QKI983061:QKM983061 QUE983061:QUI983061 REA983061:REE983061 RNW983061:ROA983061 RXS983061:RXW983061 SHO983061:SHS983061 SRK983061:SRO983061 TBG983061:TBK983061 TLC983061:TLG983061 TUY983061:TVC983061 UEU983061:UEY983061 UOQ983061:UOU983061 UYM983061:UYQ983061 VII983061:VIM983061 VSE983061:VSI983061 WCA983061:WCE983061 WLW983061:WMA983061 WVS983061:WVW983061 WVU98306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xr:uid="{80573792-2B26-4BC7-8EB4-C5FD06283EE8}">
      <formula1>$AN$20:$AN$25</formula1>
    </dataValidation>
    <dataValidation imeMode="hiragana" allowBlank="1" showInputMessage="1" showErrorMessage="1" sqref="WMF983061:WMH983061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WWB983061:WWD983061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T65557:V65557 JP65557:JR65557 TL65557:TN65557 ADH65557:ADJ65557 AND65557:ANF65557 AWZ65557:AXB65557 BGV65557:BGX65557 BQR65557:BQT65557 CAN65557:CAP65557 CKJ65557:CKL65557 CUF65557:CUH65557 DEB65557:DED65557 DNX65557:DNZ65557 DXT65557:DXV65557 EHP65557:EHR65557 ERL65557:ERN65557 FBH65557:FBJ65557 FLD65557:FLF65557 FUZ65557:FVB65557 GEV65557:GEX65557 GOR65557:GOT65557 GYN65557:GYP65557 HIJ65557:HIL65557 HSF65557:HSH65557 ICB65557:ICD65557 ILX65557:ILZ65557 IVT65557:IVV65557 JFP65557:JFR65557 JPL65557:JPN65557 JZH65557:JZJ65557 KJD65557:KJF65557 KSZ65557:KTB65557 LCV65557:LCX65557 LMR65557:LMT65557 LWN65557:LWP65557 MGJ65557:MGL65557 MQF65557:MQH65557 NAB65557:NAD65557 NJX65557:NJZ65557 NTT65557:NTV65557 ODP65557:ODR65557 ONL65557:ONN65557 OXH65557:OXJ65557 PHD65557:PHF65557 PQZ65557:PRB65557 QAV65557:QAX65557 QKR65557:QKT65557 QUN65557:QUP65557 REJ65557:REL65557 ROF65557:ROH65557 RYB65557:RYD65557 SHX65557:SHZ65557 SRT65557:SRV65557 TBP65557:TBR65557 TLL65557:TLN65557 TVH65557:TVJ65557 UFD65557:UFF65557 UOZ65557:UPB65557 UYV65557:UYX65557 VIR65557:VIT65557 VSN65557:VSP65557 WCJ65557:WCL65557 WMF65557:WMH65557 WWB65557:WWD65557 T131093:V131093 JP131093:JR131093 TL131093:TN131093 ADH131093:ADJ131093 AND131093:ANF131093 AWZ131093:AXB131093 BGV131093:BGX131093 BQR131093:BQT131093 CAN131093:CAP131093 CKJ131093:CKL131093 CUF131093:CUH131093 DEB131093:DED131093 DNX131093:DNZ131093 DXT131093:DXV131093 EHP131093:EHR131093 ERL131093:ERN131093 FBH131093:FBJ131093 FLD131093:FLF131093 FUZ131093:FVB131093 GEV131093:GEX131093 GOR131093:GOT131093 GYN131093:GYP131093 HIJ131093:HIL131093 HSF131093:HSH131093 ICB131093:ICD131093 ILX131093:ILZ131093 IVT131093:IVV131093 JFP131093:JFR131093 JPL131093:JPN131093 JZH131093:JZJ131093 KJD131093:KJF131093 KSZ131093:KTB131093 LCV131093:LCX131093 LMR131093:LMT131093 LWN131093:LWP131093 MGJ131093:MGL131093 MQF131093:MQH131093 NAB131093:NAD131093 NJX131093:NJZ131093 NTT131093:NTV131093 ODP131093:ODR131093 ONL131093:ONN131093 OXH131093:OXJ131093 PHD131093:PHF131093 PQZ131093:PRB131093 QAV131093:QAX131093 QKR131093:QKT131093 QUN131093:QUP131093 REJ131093:REL131093 ROF131093:ROH131093 RYB131093:RYD131093 SHX131093:SHZ131093 SRT131093:SRV131093 TBP131093:TBR131093 TLL131093:TLN131093 TVH131093:TVJ131093 UFD131093:UFF131093 UOZ131093:UPB131093 UYV131093:UYX131093 VIR131093:VIT131093 VSN131093:VSP131093 WCJ131093:WCL131093 WMF131093:WMH131093 WWB131093:WWD131093 T196629:V196629 JP196629:JR196629 TL196629:TN196629 ADH196629:ADJ196629 AND196629:ANF196629 AWZ196629:AXB196629 BGV196629:BGX196629 BQR196629:BQT196629 CAN196629:CAP196629 CKJ196629:CKL196629 CUF196629:CUH196629 DEB196629:DED196629 DNX196629:DNZ196629 DXT196629:DXV196629 EHP196629:EHR196629 ERL196629:ERN196629 FBH196629:FBJ196629 FLD196629:FLF196629 FUZ196629:FVB196629 GEV196629:GEX196629 GOR196629:GOT196629 GYN196629:GYP196629 HIJ196629:HIL196629 HSF196629:HSH196629 ICB196629:ICD196629 ILX196629:ILZ196629 IVT196629:IVV196629 JFP196629:JFR196629 JPL196629:JPN196629 JZH196629:JZJ196629 KJD196629:KJF196629 KSZ196629:KTB196629 LCV196629:LCX196629 LMR196629:LMT196629 LWN196629:LWP196629 MGJ196629:MGL196629 MQF196629:MQH196629 NAB196629:NAD196629 NJX196629:NJZ196629 NTT196629:NTV196629 ODP196629:ODR196629 ONL196629:ONN196629 OXH196629:OXJ196629 PHD196629:PHF196629 PQZ196629:PRB196629 QAV196629:QAX196629 QKR196629:QKT196629 QUN196629:QUP196629 REJ196629:REL196629 ROF196629:ROH196629 RYB196629:RYD196629 SHX196629:SHZ196629 SRT196629:SRV196629 TBP196629:TBR196629 TLL196629:TLN196629 TVH196629:TVJ196629 UFD196629:UFF196629 UOZ196629:UPB196629 UYV196629:UYX196629 VIR196629:VIT196629 VSN196629:VSP196629 WCJ196629:WCL196629 WMF196629:WMH196629 WWB196629:WWD196629 T262165:V262165 JP262165:JR262165 TL262165:TN262165 ADH262165:ADJ262165 AND262165:ANF262165 AWZ262165:AXB262165 BGV262165:BGX262165 BQR262165:BQT262165 CAN262165:CAP262165 CKJ262165:CKL262165 CUF262165:CUH262165 DEB262165:DED262165 DNX262165:DNZ262165 DXT262165:DXV262165 EHP262165:EHR262165 ERL262165:ERN262165 FBH262165:FBJ262165 FLD262165:FLF262165 FUZ262165:FVB262165 GEV262165:GEX262165 GOR262165:GOT262165 GYN262165:GYP262165 HIJ262165:HIL262165 HSF262165:HSH262165 ICB262165:ICD262165 ILX262165:ILZ262165 IVT262165:IVV262165 JFP262165:JFR262165 JPL262165:JPN262165 JZH262165:JZJ262165 KJD262165:KJF262165 KSZ262165:KTB262165 LCV262165:LCX262165 LMR262165:LMT262165 LWN262165:LWP262165 MGJ262165:MGL262165 MQF262165:MQH262165 NAB262165:NAD262165 NJX262165:NJZ262165 NTT262165:NTV262165 ODP262165:ODR262165 ONL262165:ONN262165 OXH262165:OXJ262165 PHD262165:PHF262165 PQZ262165:PRB262165 QAV262165:QAX262165 QKR262165:QKT262165 QUN262165:QUP262165 REJ262165:REL262165 ROF262165:ROH262165 RYB262165:RYD262165 SHX262165:SHZ262165 SRT262165:SRV262165 TBP262165:TBR262165 TLL262165:TLN262165 TVH262165:TVJ262165 UFD262165:UFF262165 UOZ262165:UPB262165 UYV262165:UYX262165 VIR262165:VIT262165 VSN262165:VSP262165 WCJ262165:WCL262165 WMF262165:WMH262165 WWB262165:WWD262165 T327701:V327701 JP327701:JR327701 TL327701:TN327701 ADH327701:ADJ327701 AND327701:ANF327701 AWZ327701:AXB327701 BGV327701:BGX327701 BQR327701:BQT327701 CAN327701:CAP327701 CKJ327701:CKL327701 CUF327701:CUH327701 DEB327701:DED327701 DNX327701:DNZ327701 DXT327701:DXV327701 EHP327701:EHR327701 ERL327701:ERN327701 FBH327701:FBJ327701 FLD327701:FLF327701 FUZ327701:FVB327701 GEV327701:GEX327701 GOR327701:GOT327701 GYN327701:GYP327701 HIJ327701:HIL327701 HSF327701:HSH327701 ICB327701:ICD327701 ILX327701:ILZ327701 IVT327701:IVV327701 JFP327701:JFR327701 JPL327701:JPN327701 JZH327701:JZJ327701 KJD327701:KJF327701 KSZ327701:KTB327701 LCV327701:LCX327701 LMR327701:LMT327701 LWN327701:LWP327701 MGJ327701:MGL327701 MQF327701:MQH327701 NAB327701:NAD327701 NJX327701:NJZ327701 NTT327701:NTV327701 ODP327701:ODR327701 ONL327701:ONN327701 OXH327701:OXJ327701 PHD327701:PHF327701 PQZ327701:PRB327701 QAV327701:QAX327701 QKR327701:QKT327701 QUN327701:QUP327701 REJ327701:REL327701 ROF327701:ROH327701 RYB327701:RYD327701 SHX327701:SHZ327701 SRT327701:SRV327701 TBP327701:TBR327701 TLL327701:TLN327701 TVH327701:TVJ327701 UFD327701:UFF327701 UOZ327701:UPB327701 UYV327701:UYX327701 VIR327701:VIT327701 VSN327701:VSP327701 WCJ327701:WCL327701 WMF327701:WMH327701 WWB327701:WWD327701 T393237:V393237 JP393237:JR393237 TL393237:TN393237 ADH393237:ADJ393237 AND393237:ANF393237 AWZ393237:AXB393237 BGV393237:BGX393237 BQR393237:BQT393237 CAN393237:CAP393237 CKJ393237:CKL393237 CUF393237:CUH393237 DEB393237:DED393237 DNX393237:DNZ393237 DXT393237:DXV393237 EHP393237:EHR393237 ERL393237:ERN393237 FBH393237:FBJ393237 FLD393237:FLF393237 FUZ393237:FVB393237 GEV393237:GEX393237 GOR393237:GOT393237 GYN393237:GYP393237 HIJ393237:HIL393237 HSF393237:HSH393237 ICB393237:ICD393237 ILX393237:ILZ393237 IVT393237:IVV393237 JFP393237:JFR393237 JPL393237:JPN393237 JZH393237:JZJ393237 KJD393237:KJF393237 KSZ393237:KTB393237 LCV393237:LCX393237 LMR393237:LMT393237 LWN393237:LWP393237 MGJ393237:MGL393237 MQF393237:MQH393237 NAB393237:NAD393237 NJX393237:NJZ393237 NTT393237:NTV393237 ODP393237:ODR393237 ONL393237:ONN393237 OXH393237:OXJ393237 PHD393237:PHF393237 PQZ393237:PRB393237 QAV393237:QAX393237 QKR393237:QKT393237 QUN393237:QUP393237 REJ393237:REL393237 ROF393237:ROH393237 RYB393237:RYD393237 SHX393237:SHZ393237 SRT393237:SRV393237 TBP393237:TBR393237 TLL393237:TLN393237 TVH393237:TVJ393237 UFD393237:UFF393237 UOZ393237:UPB393237 UYV393237:UYX393237 VIR393237:VIT393237 VSN393237:VSP393237 WCJ393237:WCL393237 WMF393237:WMH393237 WWB393237:WWD393237 T458773:V458773 JP458773:JR458773 TL458773:TN458773 ADH458773:ADJ458773 AND458773:ANF458773 AWZ458773:AXB458773 BGV458773:BGX458773 BQR458773:BQT458773 CAN458773:CAP458773 CKJ458773:CKL458773 CUF458773:CUH458773 DEB458773:DED458773 DNX458773:DNZ458773 DXT458773:DXV458773 EHP458773:EHR458773 ERL458773:ERN458773 FBH458773:FBJ458773 FLD458773:FLF458773 FUZ458773:FVB458773 GEV458773:GEX458773 GOR458773:GOT458773 GYN458773:GYP458773 HIJ458773:HIL458773 HSF458773:HSH458773 ICB458773:ICD458773 ILX458773:ILZ458773 IVT458773:IVV458773 JFP458773:JFR458773 JPL458773:JPN458773 JZH458773:JZJ458773 KJD458773:KJF458773 KSZ458773:KTB458773 LCV458773:LCX458773 LMR458773:LMT458773 LWN458773:LWP458773 MGJ458773:MGL458773 MQF458773:MQH458773 NAB458773:NAD458773 NJX458773:NJZ458773 NTT458773:NTV458773 ODP458773:ODR458773 ONL458773:ONN458773 OXH458773:OXJ458773 PHD458773:PHF458773 PQZ458773:PRB458773 QAV458773:QAX458773 QKR458773:QKT458773 QUN458773:QUP458773 REJ458773:REL458773 ROF458773:ROH458773 RYB458773:RYD458773 SHX458773:SHZ458773 SRT458773:SRV458773 TBP458773:TBR458773 TLL458773:TLN458773 TVH458773:TVJ458773 UFD458773:UFF458773 UOZ458773:UPB458773 UYV458773:UYX458773 VIR458773:VIT458773 VSN458773:VSP458773 WCJ458773:WCL458773 WMF458773:WMH458773 WWB458773:WWD458773 T524309:V524309 JP524309:JR524309 TL524309:TN524309 ADH524309:ADJ524309 AND524309:ANF524309 AWZ524309:AXB524309 BGV524309:BGX524309 BQR524309:BQT524309 CAN524309:CAP524309 CKJ524309:CKL524309 CUF524309:CUH524309 DEB524309:DED524309 DNX524309:DNZ524309 DXT524309:DXV524309 EHP524309:EHR524309 ERL524309:ERN524309 FBH524309:FBJ524309 FLD524309:FLF524309 FUZ524309:FVB524309 GEV524309:GEX524309 GOR524309:GOT524309 GYN524309:GYP524309 HIJ524309:HIL524309 HSF524309:HSH524309 ICB524309:ICD524309 ILX524309:ILZ524309 IVT524309:IVV524309 JFP524309:JFR524309 JPL524309:JPN524309 JZH524309:JZJ524309 KJD524309:KJF524309 KSZ524309:KTB524309 LCV524309:LCX524309 LMR524309:LMT524309 LWN524309:LWP524309 MGJ524309:MGL524309 MQF524309:MQH524309 NAB524309:NAD524309 NJX524309:NJZ524309 NTT524309:NTV524309 ODP524309:ODR524309 ONL524309:ONN524309 OXH524309:OXJ524309 PHD524309:PHF524309 PQZ524309:PRB524309 QAV524309:QAX524309 QKR524309:QKT524309 QUN524309:QUP524309 REJ524309:REL524309 ROF524309:ROH524309 RYB524309:RYD524309 SHX524309:SHZ524309 SRT524309:SRV524309 TBP524309:TBR524309 TLL524309:TLN524309 TVH524309:TVJ524309 UFD524309:UFF524309 UOZ524309:UPB524309 UYV524309:UYX524309 VIR524309:VIT524309 VSN524309:VSP524309 WCJ524309:WCL524309 WMF524309:WMH524309 WWB524309:WWD524309 T589845:V589845 JP589845:JR589845 TL589845:TN589845 ADH589845:ADJ589845 AND589845:ANF589845 AWZ589845:AXB589845 BGV589845:BGX589845 BQR589845:BQT589845 CAN589845:CAP589845 CKJ589845:CKL589845 CUF589845:CUH589845 DEB589845:DED589845 DNX589845:DNZ589845 DXT589845:DXV589845 EHP589845:EHR589845 ERL589845:ERN589845 FBH589845:FBJ589845 FLD589845:FLF589845 FUZ589845:FVB589845 GEV589845:GEX589845 GOR589845:GOT589845 GYN589845:GYP589845 HIJ589845:HIL589845 HSF589845:HSH589845 ICB589845:ICD589845 ILX589845:ILZ589845 IVT589845:IVV589845 JFP589845:JFR589845 JPL589845:JPN589845 JZH589845:JZJ589845 KJD589845:KJF589845 KSZ589845:KTB589845 LCV589845:LCX589845 LMR589845:LMT589845 LWN589845:LWP589845 MGJ589845:MGL589845 MQF589845:MQH589845 NAB589845:NAD589845 NJX589845:NJZ589845 NTT589845:NTV589845 ODP589845:ODR589845 ONL589845:ONN589845 OXH589845:OXJ589845 PHD589845:PHF589845 PQZ589845:PRB589845 QAV589845:QAX589845 QKR589845:QKT589845 QUN589845:QUP589845 REJ589845:REL589845 ROF589845:ROH589845 RYB589845:RYD589845 SHX589845:SHZ589845 SRT589845:SRV589845 TBP589845:TBR589845 TLL589845:TLN589845 TVH589845:TVJ589845 UFD589845:UFF589845 UOZ589845:UPB589845 UYV589845:UYX589845 VIR589845:VIT589845 VSN589845:VSP589845 WCJ589845:WCL589845 WMF589845:WMH589845 WWB589845:WWD589845 T655381:V655381 JP655381:JR655381 TL655381:TN655381 ADH655381:ADJ655381 AND655381:ANF655381 AWZ655381:AXB655381 BGV655381:BGX655381 BQR655381:BQT655381 CAN655381:CAP655381 CKJ655381:CKL655381 CUF655381:CUH655381 DEB655381:DED655381 DNX655381:DNZ655381 DXT655381:DXV655381 EHP655381:EHR655381 ERL655381:ERN655381 FBH655381:FBJ655381 FLD655381:FLF655381 FUZ655381:FVB655381 GEV655381:GEX655381 GOR655381:GOT655381 GYN655381:GYP655381 HIJ655381:HIL655381 HSF655381:HSH655381 ICB655381:ICD655381 ILX655381:ILZ655381 IVT655381:IVV655381 JFP655381:JFR655381 JPL655381:JPN655381 JZH655381:JZJ655381 KJD655381:KJF655381 KSZ655381:KTB655381 LCV655381:LCX655381 LMR655381:LMT655381 LWN655381:LWP655381 MGJ655381:MGL655381 MQF655381:MQH655381 NAB655381:NAD655381 NJX655381:NJZ655381 NTT655381:NTV655381 ODP655381:ODR655381 ONL655381:ONN655381 OXH655381:OXJ655381 PHD655381:PHF655381 PQZ655381:PRB655381 QAV655381:QAX655381 QKR655381:QKT655381 QUN655381:QUP655381 REJ655381:REL655381 ROF655381:ROH655381 RYB655381:RYD655381 SHX655381:SHZ655381 SRT655381:SRV655381 TBP655381:TBR655381 TLL655381:TLN655381 TVH655381:TVJ655381 UFD655381:UFF655381 UOZ655381:UPB655381 UYV655381:UYX655381 VIR655381:VIT655381 VSN655381:VSP655381 WCJ655381:WCL655381 WMF655381:WMH655381 WWB655381:WWD655381 T720917:V720917 JP720917:JR720917 TL720917:TN720917 ADH720917:ADJ720917 AND720917:ANF720917 AWZ720917:AXB720917 BGV720917:BGX720917 BQR720917:BQT720917 CAN720917:CAP720917 CKJ720917:CKL720917 CUF720917:CUH720917 DEB720917:DED720917 DNX720917:DNZ720917 DXT720917:DXV720917 EHP720917:EHR720917 ERL720917:ERN720917 FBH720917:FBJ720917 FLD720917:FLF720917 FUZ720917:FVB720917 GEV720917:GEX720917 GOR720917:GOT720917 GYN720917:GYP720917 HIJ720917:HIL720917 HSF720917:HSH720917 ICB720917:ICD720917 ILX720917:ILZ720917 IVT720917:IVV720917 JFP720917:JFR720917 JPL720917:JPN720917 JZH720917:JZJ720917 KJD720917:KJF720917 KSZ720917:KTB720917 LCV720917:LCX720917 LMR720917:LMT720917 LWN720917:LWP720917 MGJ720917:MGL720917 MQF720917:MQH720917 NAB720917:NAD720917 NJX720917:NJZ720917 NTT720917:NTV720917 ODP720917:ODR720917 ONL720917:ONN720917 OXH720917:OXJ720917 PHD720917:PHF720917 PQZ720917:PRB720917 QAV720917:QAX720917 QKR720917:QKT720917 QUN720917:QUP720917 REJ720917:REL720917 ROF720917:ROH720917 RYB720917:RYD720917 SHX720917:SHZ720917 SRT720917:SRV720917 TBP720917:TBR720917 TLL720917:TLN720917 TVH720917:TVJ720917 UFD720917:UFF720917 UOZ720917:UPB720917 UYV720917:UYX720917 VIR720917:VIT720917 VSN720917:VSP720917 WCJ720917:WCL720917 WMF720917:WMH720917 WWB720917:WWD720917 T786453:V786453 JP786453:JR786453 TL786453:TN786453 ADH786453:ADJ786453 AND786453:ANF786453 AWZ786453:AXB786453 BGV786453:BGX786453 BQR786453:BQT786453 CAN786453:CAP786453 CKJ786453:CKL786453 CUF786453:CUH786453 DEB786453:DED786453 DNX786453:DNZ786453 DXT786453:DXV786453 EHP786453:EHR786453 ERL786453:ERN786453 FBH786453:FBJ786453 FLD786453:FLF786453 FUZ786453:FVB786453 GEV786453:GEX786453 GOR786453:GOT786453 GYN786453:GYP786453 HIJ786453:HIL786453 HSF786453:HSH786453 ICB786453:ICD786453 ILX786453:ILZ786453 IVT786453:IVV786453 JFP786453:JFR786453 JPL786453:JPN786453 JZH786453:JZJ786453 KJD786453:KJF786453 KSZ786453:KTB786453 LCV786453:LCX786453 LMR786453:LMT786453 LWN786453:LWP786453 MGJ786453:MGL786453 MQF786453:MQH786453 NAB786453:NAD786453 NJX786453:NJZ786453 NTT786453:NTV786453 ODP786453:ODR786453 ONL786453:ONN786453 OXH786453:OXJ786453 PHD786453:PHF786453 PQZ786453:PRB786453 QAV786453:QAX786453 QKR786453:QKT786453 QUN786453:QUP786453 REJ786453:REL786453 ROF786453:ROH786453 RYB786453:RYD786453 SHX786453:SHZ786453 SRT786453:SRV786453 TBP786453:TBR786453 TLL786453:TLN786453 TVH786453:TVJ786453 UFD786453:UFF786453 UOZ786453:UPB786453 UYV786453:UYX786453 VIR786453:VIT786453 VSN786453:VSP786453 WCJ786453:WCL786453 WMF786453:WMH786453 WWB786453:WWD786453 T851989:V851989 JP851989:JR851989 TL851989:TN851989 ADH851989:ADJ851989 AND851989:ANF851989 AWZ851989:AXB851989 BGV851989:BGX851989 BQR851989:BQT851989 CAN851989:CAP851989 CKJ851989:CKL851989 CUF851989:CUH851989 DEB851989:DED851989 DNX851989:DNZ851989 DXT851989:DXV851989 EHP851989:EHR851989 ERL851989:ERN851989 FBH851989:FBJ851989 FLD851989:FLF851989 FUZ851989:FVB851989 GEV851989:GEX851989 GOR851989:GOT851989 GYN851989:GYP851989 HIJ851989:HIL851989 HSF851989:HSH851989 ICB851989:ICD851989 ILX851989:ILZ851989 IVT851989:IVV851989 JFP851989:JFR851989 JPL851989:JPN851989 JZH851989:JZJ851989 KJD851989:KJF851989 KSZ851989:KTB851989 LCV851989:LCX851989 LMR851989:LMT851989 LWN851989:LWP851989 MGJ851989:MGL851989 MQF851989:MQH851989 NAB851989:NAD851989 NJX851989:NJZ851989 NTT851989:NTV851989 ODP851989:ODR851989 ONL851989:ONN851989 OXH851989:OXJ851989 PHD851989:PHF851989 PQZ851989:PRB851989 QAV851989:QAX851989 QKR851989:QKT851989 QUN851989:QUP851989 REJ851989:REL851989 ROF851989:ROH851989 RYB851989:RYD851989 SHX851989:SHZ851989 SRT851989:SRV851989 TBP851989:TBR851989 TLL851989:TLN851989 TVH851989:TVJ851989 UFD851989:UFF851989 UOZ851989:UPB851989 UYV851989:UYX851989 VIR851989:VIT851989 VSN851989:VSP851989 WCJ851989:WCL851989 WMF851989:WMH851989 WWB851989:WWD851989 T917525:V917525 JP917525:JR917525 TL917525:TN917525 ADH917525:ADJ917525 AND917525:ANF917525 AWZ917525:AXB917525 BGV917525:BGX917525 BQR917525:BQT917525 CAN917525:CAP917525 CKJ917525:CKL917525 CUF917525:CUH917525 DEB917525:DED917525 DNX917525:DNZ917525 DXT917525:DXV917525 EHP917525:EHR917525 ERL917525:ERN917525 FBH917525:FBJ917525 FLD917525:FLF917525 FUZ917525:FVB917525 GEV917525:GEX917525 GOR917525:GOT917525 GYN917525:GYP917525 HIJ917525:HIL917525 HSF917525:HSH917525 ICB917525:ICD917525 ILX917525:ILZ917525 IVT917525:IVV917525 JFP917525:JFR917525 JPL917525:JPN917525 JZH917525:JZJ917525 KJD917525:KJF917525 KSZ917525:KTB917525 LCV917525:LCX917525 LMR917525:LMT917525 LWN917525:LWP917525 MGJ917525:MGL917525 MQF917525:MQH917525 NAB917525:NAD917525 NJX917525:NJZ917525 NTT917525:NTV917525 ODP917525:ODR917525 ONL917525:ONN917525 OXH917525:OXJ917525 PHD917525:PHF917525 PQZ917525:PRB917525 QAV917525:QAX917525 QKR917525:QKT917525 QUN917525:QUP917525 REJ917525:REL917525 ROF917525:ROH917525 RYB917525:RYD917525 SHX917525:SHZ917525 SRT917525:SRV917525 TBP917525:TBR917525 TLL917525:TLN917525 TVH917525:TVJ917525 UFD917525:UFF917525 UOZ917525:UPB917525 UYV917525:UYX917525 VIR917525:VIT917525 VSN917525:VSP917525 WCJ917525:WCL917525 WMF917525:WMH917525 WWB917525:WWD917525 T983061:V983061 JP983061:JR983061 TL983061:TN983061 ADH983061:ADJ983061 AND983061:ANF983061 AWZ983061:AXB983061 BGV983061:BGX983061 BQR983061:BQT983061 CAN983061:CAP983061 CKJ983061:CKL983061 CUF983061:CUH983061 DEB983061:DED983061 DNX983061:DNZ983061 DXT983061:DXV983061 EHP983061:EHR983061 ERL983061:ERN983061 FBH983061:FBJ983061 FLD983061:FLF983061 FUZ983061:FVB983061 GEV983061:GEX983061 GOR983061:GOT983061 GYN983061:GYP983061 HIJ983061:HIL983061 HSF983061:HSH983061 ICB983061:ICD983061 ILX983061:ILZ983061 IVT983061:IVV983061 JFP983061:JFR983061 JPL983061:JPN983061 JZH983061:JZJ983061 KJD983061:KJF983061 KSZ983061:KTB983061 LCV983061:LCX983061 LMR983061:LMT983061 LWN983061:LWP983061 MGJ983061:MGL983061 MQF983061:MQH983061 NAB983061:NAD983061 NJX983061:NJZ983061 NTT983061:NTV983061 ODP983061:ODR983061 ONL983061:ONN983061 OXH983061:OXJ983061 PHD983061:PHF983061 PQZ983061:PRB983061 QAV983061:QAX983061 QKR983061:QKT983061 QUN983061:QUP983061 REJ983061:REL983061 ROF983061:ROH983061 RYB983061:RYD983061 SHX983061:SHZ983061 SRT983061:SRV983061 TBP983061:TBR983061 TLL983061:TLN983061 TVH983061:TVJ983061 UFD983061:UFF983061 UOZ983061:UPB983061 UYV983061:UYX983061 VIR983061:VIT983061 VSN983061:VSP983061 WCJ983061:WCL983061 T21:W21" xr:uid="{AD484457-FD47-4330-BE17-82E2922B2B84}"/>
  </dataValidations>
  <pageMargins left="0.78740157480314965" right="0.39370078740157483" top="0.59055118110236227" bottom="0.59055118110236227" header="0.51181102362204722" footer="0.51181102362204722"/>
  <pageSetup paperSize="9" orientation="portrait" blackAndWhite="1"/>
  <headerFooter>
    <oddHeader>&amp;L&amp;9様式－ＩＰＥＣ－０８</oddHeader>
    <oddFooter xml:space="preserve">&amp;L&amp;6IPEC-08 建築主等変更届.xls&amp;R&amp;6ver1.2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FFFF29-FA8A-4EA8-B1E8-684F323153DB}">
          <x14:formula1>
            <xm:f>$AN$27:$AN$28</xm:f>
          </x14:formula1>
          <xm: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CFFCC"/>
  </sheetPr>
  <dimension ref="C1:G12"/>
  <sheetViews>
    <sheetView workbookViewId="0">
      <selection activeCell="E12" sqref="E12"/>
    </sheetView>
  </sheetViews>
  <sheetFormatPr defaultColWidth="9" defaultRowHeight="18.75" customHeight="1"/>
  <cols>
    <col min="1" max="3" width="2.75" style="21" customWidth="1"/>
    <col min="4" max="4" width="4.125" style="21" customWidth="1"/>
    <col min="5" max="5" width="23.5" style="221" customWidth="1"/>
    <col min="6" max="6" width="9" style="21" customWidth="1"/>
    <col min="7" max="7" width="50.625" style="21" customWidth="1"/>
    <col min="8" max="8" width="9" style="21" customWidth="1"/>
    <col min="9" max="16384" width="9" style="21"/>
  </cols>
  <sheetData>
    <row r="1" spans="3:7">
      <c r="E1" s="221" t="s">
        <v>38</v>
      </c>
      <c r="G1" s="122" t="s">
        <v>39</v>
      </c>
    </row>
    <row r="3" spans="3:7">
      <c r="C3" s="686" t="s">
        <v>40</v>
      </c>
      <c r="D3" s="686"/>
      <c r="E3" s="686"/>
      <c r="F3" s="686"/>
      <c r="G3" s="686"/>
    </row>
    <row r="4" spans="3:7">
      <c r="E4" s="221">
        <v>45056</v>
      </c>
      <c r="F4" s="21" t="s">
        <v>41</v>
      </c>
      <c r="G4" s="21" t="s">
        <v>42</v>
      </c>
    </row>
    <row r="5" spans="3:7">
      <c r="G5" s="21" t="s">
        <v>43</v>
      </c>
    </row>
    <row r="6" spans="3:7">
      <c r="E6" s="221">
        <v>45224</v>
      </c>
      <c r="F6" s="21" t="s">
        <v>41</v>
      </c>
      <c r="G6" s="21" t="s">
        <v>44</v>
      </c>
    </row>
    <row r="7" spans="3:7">
      <c r="E7" s="221">
        <v>45226</v>
      </c>
      <c r="F7" s="21" t="s">
        <v>45</v>
      </c>
      <c r="G7" s="21" t="s">
        <v>46</v>
      </c>
    </row>
    <row r="8" spans="3:7">
      <c r="E8" s="221">
        <v>45362</v>
      </c>
      <c r="F8" s="21" t="s">
        <v>47</v>
      </c>
      <c r="G8" s="21" t="s">
        <v>48</v>
      </c>
    </row>
    <row r="9" spans="3:7">
      <c r="E9" s="221">
        <v>45386</v>
      </c>
      <c r="F9" s="21" t="s">
        <v>49</v>
      </c>
      <c r="G9" s="21" t="s">
        <v>50</v>
      </c>
    </row>
    <row r="10" spans="3:7">
      <c r="E10" s="221">
        <v>45392</v>
      </c>
      <c r="F10" s="21" t="s">
        <v>49</v>
      </c>
      <c r="G10" s="21" t="s">
        <v>51</v>
      </c>
    </row>
    <row r="11" spans="3:7">
      <c r="E11" s="221">
        <v>45393</v>
      </c>
      <c r="F11" s="21" t="s">
        <v>49</v>
      </c>
      <c r="G11" s="21" t="s">
        <v>52</v>
      </c>
    </row>
    <row r="12" spans="3:7">
      <c r="E12" s="221">
        <v>45394</v>
      </c>
      <c r="F12" s="21" t="s">
        <v>49</v>
      </c>
      <c r="G12" s="21" t="s">
        <v>53</v>
      </c>
    </row>
  </sheetData>
  <customSheetViews>
    <customSheetView guid="{E028D9C5-4CBB-430B-B1F8-80DD1ABDFA29}">
      <selection activeCell="F11" sqref="F11"/>
      <pageMargins left="0.7" right="0.7" top="0.75" bottom="0.75" header="0.3" footer="0.3"/>
    </customSheetView>
    <customSheetView guid="{D83ABAE7-1F4C-4C77-8E04-C5172671ED17}">
      <selection activeCell="F11" sqref="F11"/>
      <pageMargins left="0.7" right="0.7" top="0.75" bottom="0.75" header="0.3" footer="0.3"/>
    </customSheetView>
    <customSheetView guid="{2DA24103-744A-47E0-AFFB-F94A0E194D57}">
      <selection activeCell="G19" sqref="G19"/>
      <pageMargins left="0.7" right="0.7" top="0.75" bottom="0.75" header="0.3" footer="0.3"/>
    </customSheetView>
  </customSheetViews>
  <mergeCells count="1">
    <mergeCell ref="C3:G3"/>
  </mergeCells>
  <phoneticPr fontId="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703D-054E-45BC-95F4-F347FFE2759E}">
  <sheetPr>
    <tabColor theme="4"/>
  </sheetPr>
  <dimension ref="A1:AN63"/>
  <sheetViews>
    <sheetView view="pageBreakPreview" zoomScale="130" zoomScaleNormal="100" zoomScaleSheetLayoutView="130" workbookViewId="0"/>
  </sheetViews>
  <sheetFormatPr defaultColWidth="2.625" defaultRowHeight="15" customHeight="1"/>
  <cols>
    <col min="1" max="6" width="2.625" style="576" customWidth="1"/>
    <col min="7" max="32" width="2.875" style="576" customWidth="1"/>
    <col min="33" max="39" width="2.625" style="576" customWidth="1"/>
    <col min="40" max="16384" width="2.625" style="576"/>
  </cols>
  <sheetData>
    <row r="1" spans="1:34" ht="6" customHeight="1"/>
    <row r="2" spans="1:34" ht="15.95" customHeight="1">
      <c r="B2" s="988" t="s">
        <v>3189</v>
      </c>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8"/>
      <c r="AC2" s="988"/>
      <c r="AD2" s="988"/>
      <c r="AH2" s="596" t="s">
        <v>3157</v>
      </c>
    </row>
    <row r="3" spans="1:34" ht="14.25">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H3" s="596"/>
    </row>
    <row r="4" spans="1:34" ht="12" customHeight="1">
      <c r="A4" s="593"/>
      <c r="B4" s="974" t="s">
        <v>3179</v>
      </c>
      <c r="C4" s="975"/>
      <c r="D4" s="975"/>
      <c r="E4" s="975"/>
      <c r="F4" s="976"/>
      <c r="G4" s="974" t="s">
        <v>3167</v>
      </c>
      <c r="H4" s="975"/>
      <c r="I4" s="976"/>
      <c r="J4" s="591" t="s">
        <v>3171</v>
      </c>
      <c r="K4" s="590"/>
      <c r="L4" s="590"/>
      <c r="M4" s="590"/>
      <c r="N4" s="590"/>
      <c r="O4" s="972"/>
      <c r="P4" s="972"/>
      <c r="Q4" s="972"/>
      <c r="R4" s="972"/>
      <c r="S4" s="972"/>
      <c r="T4" s="972"/>
      <c r="U4" s="972"/>
      <c r="V4" s="972"/>
      <c r="W4" s="972"/>
      <c r="X4" s="972"/>
      <c r="Y4" s="972"/>
      <c r="Z4" s="972"/>
      <c r="AA4" s="972"/>
      <c r="AB4" s="972"/>
      <c r="AC4" s="972"/>
      <c r="AD4" s="972"/>
      <c r="AE4" s="972"/>
      <c r="AF4" s="973"/>
    </row>
    <row r="5" spans="1:34" ht="12" customHeight="1">
      <c r="B5" s="977"/>
      <c r="C5" s="978"/>
      <c r="D5" s="978"/>
      <c r="E5" s="978"/>
      <c r="F5" s="979"/>
      <c r="G5" s="977"/>
      <c r="H5" s="978"/>
      <c r="I5" s="979"/>
      <c r="J5" s="589" t="s">
        <v>194</v>
      </c>
      <c r="K5" s="588"/>
      <c r="L5" s="985"/>
      <c r="M5" s="985"/>
      <c r="N5" s="985"/>
      <c r="O5" s="978"/>
      <c r="P5" s="978"/>
      <c r="Q5" s="978"/>
      <c r="R5" s="978"/>
      <c r="S5" s="978"/>
      <c r="T5" s="978"/>
      <c r="U5" s="583"/>
      <c r="V5" s="583"/>
      <c r="W5" s="585" t="s">
        <v>3172</v>
      </c>
      <c r="X5" s="986"/>
      <c r="Y5" s="986"/>
      <c r="Z5" s="583" t="s">
        <v>3173</v>
      </c>
      <c r="AA5" s="583"/>
      <c r="AB5" s="583"/>
      <c r="AC5" s="583"/>
      <c r="AD5" s="583"/>
      <c r="AE5" s="583"/>
      <c r="AF5" s="584"/>
    </row>
    <row r="6" spans="1:34" s="594" customFormat="1" ht="12.75">
      <c r="A6" s="595"/>
      <c r="B6" s="977"/>
      <c r="C6" s="978"/>
      <c r="D6" s="978"/>
      <c r="E6" s="978"/>
      <c r="F6" s="979"/>
      <c r="G6" s="977"/>
      <c r="H6" s="978"/>
      <c r="I6" s="979"/>
      <c r="J6" s="582"/>
      <c r="K6" s="580"/>
      <c r="L6" s="964"/>
      <c r="M6" s="964"/>
      <c r="N6" s="964"/>
      <c r="O6" s="964"/>
      <c r="P6" s="964"/>
      <c r="Q6" s="964"/>
      <c r="R6" s="964"/>
      <c r="S6" s="964"/>
      <c r="T6" s="964"/>
      <c r="U6" s="578"/>
      <c r="V6" s="578"/>
      <c r="W6" s="581" t="s">
        <v>2868</v>
      </c>
      <c r="X6" s="964"/>
      <c r="Y6" s="964"/>
      <c r="Z6" s="964"/>
      <c r="AA6" s="580" t="s">
        <v>3067</v>
      </c>
      <c r="AB6" s="578"/>
      <c r="AC6" s="965"/>
      <c r="AD6" s="965"/>
      <c r="AE6" s="965"/>
      <c r="AF6" s="577" t="s">
        <v>2762</v>
      </c>
    </row>
    <row r="7" spans="1:34" s="594" customFormat="1" ht="12" customHeight="1">
      <c r="A7" s="576"/>
      <c r="B7" s="977"/>
      <c r="C7" s="978"/>
      <c r="D7" s="978"/>
      <c r="E7" s="978"/>
      <c r="F7" s="979"/>
      <c r="G7" s="977"/>
      <c r="H7" s="978"/>
      <c r="I7" s="979"/>
      <c r="J7" s="587" t="s">
        <v>3174</v>
      </c>
      <c r="K7" s="586"/>
      <c r="L7" s="586"/>
      <c r="M7" s="586"/>
      <c r="N7" s="983"/>
      <c r="O7" s="983"/>
      <c r="P7" s="983"/>
      <c r="Q7" s="983"/>
      <c r="R7" s="983"/>
      <c r="S7" s="983"/>
      <c r="T7" s="983"/>
      <c r="U7" s="983"/>
      <c r="V7" s="583"/>
      <c r="W7" s="585" t="s">
        <v>3175</v>
      </c>
      <c r="X7" s="984"/>
      <c r="Y7" s="984"/>
      <c r="Z7" s="583" t="s">
        <v>3176</v>
      </c>
      <c r="AA7" s="583"/>
      <c r="AB7" s="583"/>
      <c r="AC7" s="583"/>
      <c r="AD7" s="583"/>
      <c r="AE7" s="583"/>
      <c r="AF7" s="584"/>
    </row>
    <row r="8" spans="1:34" s="593" customFormat="1" ht="12" customHeight="1">
      <c r="A8" s="576"/>
      <c r="B8" s="977"/>
      <c r="C8" s="978"/>
      <c r="D8" s="978"/>
      <c r="E8" s="978"/>
      <c r="F8" s="979"/>
      <c r="G8" s="977"/>
      <c r="H8" s="978"/>
      <c r="I8" s="979"/>
      <c r="J8" s="582"/>
      <c r="K8" s="580"/>
      <c r="L8" s="581" t="s">
        <v>3045</v>
      </c>
      <c r="M8" s="580"/>
      <c r="N8" s="966" t="s">
        <v>3178</v>
      </c>
      <c r="O8" s="966"/>
      <c r="P8" s="966"/>
      <c r="Q8" s="966"/>
      <c r="R8" s="966"/>
      <c r="S8" s="966"/>
      <c r="T8" s="966"/>
      <c r="U8" s="966"/>
      <c r="V8" s="579" t="s">
        <v>2868</v>
      </c>
      <c r="W8" s="965"/>
      <c r="X8" s="965"/>
      <c r="Y8" s="578" t="s">
        <v>3177</v>
      </c>
      <c r="Z8" s="578"/>
      <c r="AA8" s="578"/>
      <c r="AB8" s="578" t="s">
        <v>2831</v>
      </c>
      <c r="AC8" s="965"/>
      <c r="AD8" s="965"/>
      <c r="AE8" s="965"/>
      <c r="AF8" s="577" t="s">
        <v>2762</v>
      </c>
    </row>
    <row r="9" spans="1:34" s="593" customFormat="1" ht="12" customHeight="1">
      <c r="A9" s="576"/>
      <c r="B9" s="977"/>
      <c r="C9" s="978"/>
      <c r="D9" s="978"/>
      <c r="E9" s="978"/>
      <c r="F9" s="979"/>
      <c r="G9" s="977"/>
      <c r="H9" s="978"/>
      <c r="I9" s="979"/>
      <c r="J9" s="967" t="s">
        <v>3180</v>
      </c>
      <c r="K9" s="968"/>
      <c r="L9" s="968"/>
      <c r="M9" s="968"/>
      <c r="N9" s="968"/>
      <c r="O9" s="968"/>
      <c r="P9" s="968"/>
      <c r="Q9" s="969"/>
      <c r="R9" s="969"/>
      <c r="S9" s="969"/>
      <c r="T9" s="969"/>
      <c r="U9" s="969"/>
      <c r="V9" s="970"/>
      <c r="W9" s="970"/>
      <c r="X9" s="970"/>
      <c r="Y9" s="970"/>
      <c r="Z9" s="970"/>
      <c r="AA9" s="970"/>
      <c r="AB9" s="970"/>
      <c r="AC9" s="970"/>
      <c r="AD9" s="970"/>
      <c r="AE9" s="970"/>
      <c r="AF9" s="971"/>
    </row>
    <row r="10" spans="1:34" s="593" customFormat="1" ht="12" customHeight="1">
      <c r="A10" s="576"/>
      <c r="B10" s="977"/>
      <c r="C10" s="978"/>
      <c r="D10" s="978"/>
      <c r="E10" s="978"/>
      <c r="F10" s="979"/>
      <c r="G10" s="977"/>
      <c r="H10" s="978"/>
      <c r="I10" s="979"/>
      <c r="J10" s="591" t="s">
        <v>3171</v>
      </c>
      <c r="K10" s="590"/>
      <c r="L10" s="590"/>
      <c r="M10" s="590"/>
      <c r="N10" s="590"/>
      <c r="O10" s="972"/>
      <c r="P10" s="972"/>
      <c r="Q10" s="972"/>
      <c r="R10" s="972"/>
      <c r="S10" s="972"/>
      <c r="T10" s="972"/>
      <c r="U10" s="972"/>
      <c r="V10" s="972"/>
      <c r="W10" s="972"/>
      <c r="X10" s="972"/>
      <c r="Y10" s="972"/>
      <c r="Z10" s="972"/>
      <c r="AA10" s="972"/>
      <c r="AB10" s="972"/>
      <c r="AC10" s="972"/>
      <c r="AD10" s="972"/>
      <c r="AE10" s="972"/>
      <c r="AF10" s="973"/>
    </row>
    <row r="11" spans="1:34" s="593" customFormat="1" ht="12" customHeight="1">
      <c r="A11" s="576"/>
      <c r="B11" s="977"/>
      <c r="C11" s="978"/>
      <c r="D11" s="978"/>
      <c r="E11" s="978"/>
      <c r="F11" s="979"/>
      <c r="G11" s="977"/>
      <c r="H11" s="978"/>
      <c r="I11" s="979"/>
      <c r="J11" s="589" t="s">
        <v>194</v>
      </c>
      <c r="K11" s="588"/>
      <c r="L11" s="985"/>
      <c r="M11" s="985"/>
      <c r="N11" s="985"/>
      <c r="O11" s="978"/>
      <c r="P11" s="978"/>
      <c r="Q11" s="978"/>
      <c r="R11" s="978"/>
      <c r="S11" s="978"/>
      <c r="T11" s="978"/>
      <c r="U11" s="583"/>
      <c r="V11" s="583"/>
      <c r="W11" s="585" t="s">
        <v>3172</v>
      </c>
      <c r="X11" s="986"/>
      <c r="Y11" s="986"/>
      <c r="Z11" s="583" t="s">
        <v>3173</v>
      </c>
      <c r="AA11" s="583"/>
      <c r="AB11" s="583"/>
      <c r="AC11" s="583"/>
      <c r="AD11" s="583"/>
      <c r="AE11" s="583"/>
      <c r="AF11" s="584"/>
    </row>
    <row r="12" spans="1:34" s="593" customFormat="1" ht="12" customHeight="1">
      <c r="A12" s="576"/>
      <c r="B12" s="977"/>
      <c r="C12" s="978"/>
      <c r="D12" s="978"/>
      <c r="E12" s="978"/>
      <c r="F12" s="979"/>
      <c r="G12" s="977"/>
      <c r="H12" s="978"/>
      <c r="I12" s="979"/>
      <c r="J12" s="582"/>
      <c r="K12" s="580"/>
      <c r="L12" s="964"/>
      <c r="M12" s="964"/>
      <c r="N12" s="964"/>
      <c r="O12" s="964"/>
      <c r="P12" s="964"/>
      <c r="Q12" s="964"/>
      <c r="R12" s="964"/>
      <c r="S12" s="964"/>
      <c r="T12" s="964"/>
      <c r="U12" s="578"/>
      <c r="V12" s="578"/>
      <c r="W12" s="581" t="s">
        <v>2868</v>
      </c>
      <c r="X12" s="964"/>
      <c r="Y12" s="964"/>
      <c r="Z12" s="964"/>
      <c r="AA12" s="580" t="s">
        <v>3067</v>
      </c>
      <c r="AB12" s="578"/>
      <c r="AC12" s="965"/>
      <c r="AD12" s="965"/>
      <c r="AE12" s="965"/>
      <c r="AF12" s="577" t="s">
        <v>2762</v>
      </c>
    </row>
    <row r="13" spans="1:34" s="593" customFormat="1" ht="12.95" customHeight="1">
      <c r="A13" s="576"/>
      <c r="B13" s="977"/>
      <c r="C13" s="978"/>
      <c r="D13" s="978"/>
      <c r="E13" s="978"/>
      <c r="F13" s="979"/>
      <c r="G13" s="977"/>
      <c r="H13" s="978"/>
      <c r="I13" s="979"/>
      <c r="J13" s="587" t="s">
        <v>3174</v>
      </c>
      <c r="K13" s="586"/>
      <c r="L13" s="586"/>
      <c r="M13" s="586"/>
      <c r="N13" s="983"/>
      <c r="O13" s="983"/>
      <c r="P13" s="983"/>
      <c r="Q13" s="983"/>
      <c r="R13" s="983"/>
      <c r="S13" s="983"/>
      <c r="T13" s="983"/>
      <c r="U13" s="983"/>
      <c r="V13" s="583"/>
      <c r="W13" s="585" t="s">
        <v>3175</v>
      </c>
      <c r="X13" s="984"/>
      <c r="Y13" s="984"/>
      <c r="Z13" s="583" t="s">
        <v>3176</v>
      </c>
      <c r="AA13" s="583"/>
      <c r="AB13" s="583"/>
      <c r="AC13" s="583"/>
      <c r="AD13" s="583"/>
      <c r="AE13" s="583"/>
      <c r="AF13" s="584"/>
    </row>
    <row r="14" spans="1:34" s="593" customFormat="1" ht="12" customHeight="1">
      <c r="A14" s="576"/>
      <c r="B14" s="977"/>
      <c r="C14" s="978"/>
      <c r="D14" s="978"/>
      <c r="E14" s="978"/>
      <c r="F14" s="979"/>
      <c r="G14" s="977"/>
      <c r="H14" s="978"/>
      <c r="I14" s="979"/>
      <c r="J14" s="582"/>
      <c r="K14" s="580"/>
      <c r="L14" s="581" t="s">
        <v>3045</v>
      </c>
      <c r="M14" s="580"/>
      <c r="N14" s="966" t="s">
        <v>3178</v>
      </c>
      <c r="O14" s="966"/>
      <c r="P14" s="966"/>
      <c r="Q14" s="966"/>
      <c r="R14" s="966"/>
      <c r="S14" s="966"/>
      <c r="T14" s="966"/>
      <c r="U14" s="966"/>
      <c r="V14" s="579" t="s">
        <v>2868</v>
      </c>
      <c r="W14" s="965"/>
      <c r="X14" s="965"/>
      <c r="Y14" s="578" t="s">
        <v>3177</v>
      </c>
      <c r="Z14" s="578"/>
      <c r="AA14" s="578"/>
      <c r="AB14" s="578" t="s">
        <v>2831</v>
      </c>
      <c r="AC14" s="965"/>
      <c r="AD14" s="965"/>
      <c r="AE14" s="965"/>
      <c r="AF14" s="577" t="s">
        <v>2762</v>
      </c>
    </row>
    <row r="15" spans="1:34" s="593" customFormat="1" ht="12" customHeight="1">
      <c r="A15" s="576"/>
      <c r="B15" s="977"/>
      <c r="C15" s="978"/>
      <c r="D15" s="978"/>
      <c r="E15" s="978"/>
      <c r="F15" s="979"/>
      <c r="G15" s="977"/>
      <c r="H15" s="978"/>
      <c r="I15" s="979"/>
      <c r="J15" s="967" t="s">
        <v>3180</v>
      </c>
      <c r="K15" s="968"/>
      <c r="L15" s="968"/>
      <c r="M15" s="968"/>
      <c r="N15" s="968"/>
      <c r="O15" s="968"/>
      <c r="P15" s="968"/>
      <c r="Q15" s="969"/>
      <c r="R15" s="969"/>
      <c r="S15" s="969"/>
      <c r="T15" s="969"/>
      <c r="U15" s="969"/>
      <c r="V15" s="970"/>
      <c r="W15" s="970"/>
      <c r="X15" s="970"/>
      <c r="Y15" s="970"/>
      <c r="Z15" s="970"/>
      <c r="AA15" s="970"/>
      <c r="AB15" s="970"/>
      <c r="AC15" s="970"/>
      <c r="AD15" s="970"/>
      <c r="AE15" s="970"/>
      <c r="AF15" s="971"/>
    </row>
    <row r="16" spans="1:34" s="593" customFormat="1" ht="12" customHeight="1">
      <c r="A16" s="576"/>
      <c r="B16" s="977"/>
      <c r="C16" s="978"/>
      <c r="D16" s="978"/>
      <c r="E16" s="978"/>
      <c r="F16" s="979"/>
      <c r="G16" s="977"/>
      <c r="H16" s="978"/>
      <c r="I16" s="979"/>
      <c r="J16" s="591" t="s">
        <v>3171</v>
      </c>
      <c r="K16" s="590"/>
      <c r="L16" s="590"/>
      <c r="M16" s="590"/>
      <c r="N16" s="590"/>
      <c r="O16" s="972"/>
      <c r="P16" s="972"/>
      <c r="Q16" s="972"/>
      <c r="R16" s="972"/>
      <c r="S16" s="972"/>
      <c r="T16" s="972"/>
      <c r="U16" s="972"/>
      <c r="V16" s="972"/>
      <c r="W16" s="972"/>
      <c r="X16" s="972"/>
      <c r="Y16" s="972"/>
      <c r="Z16" s="972"/>
      <c r="AA16" s="972"/>
      <c r="AB16" s="972"/>
      <c r="AC16" s="972"/>
      <c r="AD16" s="972"/>
      <c r="AE16" s="972"/>
      <c r="AF16" s="973"/>
    </row>
    <row r="17" spans="1:40" s="593" customFormat="1" ht="12" customHeight="1">
      <c r="A17" s="576"/>
      <c r="B17" s="977"/>
      <c r="C17" s="978"/>
      <c r="D17" s="978"/>
      <c r="E17" s="978"/>
      <c r="F17" s="979"/>
      <c r="G17" s="977"/>
      <c r="H17" s="978"/>
      <c r="I17" s="979"/>
      <c r="J17" s="589" t="s">
        <v>194</v>
      </c>
      <c r="K17" s="588"/>
      <c r="L17" s="985"/>
      <c r="M17" s="985"/>
      <c r="N17" s="985"/>
      <c r="O17" s="978"/>
      <c r="P17" s="978"/>
      <c r="Q17" s="978"/>
      <c r="R17" s="978"/>
      <c r="S17" s="978"/>
      <c r="T17" s="978"/>
      <c r="U17" s="583"/>
      <c r="V17" s="583"/>
      <c r="W17" s="585" t="s">
        <v>3172</v>
      </c>
      <c r="X17" s="986"/>
      <c r="Y17" s="986"/>
      <c r="Z17" s="583" t="s">
        <v>3173</v>
      </c>
      <c r="AA17" s="583"/>
      <c r="AB17" s="583"/>
      <c r="AC17" s="583"/>
      <c r="AD17" s="583"/>
      <c r="AE17" s="583"/>
      <c r="AF17" s="584"/>
    </row>
    <row r="18" spans="1:40" s="593" customFormat="1" ht="12" customHeight="1">
      <c r="A18" s="576"/>
      <c r="B18" s="977"/>
      <c r="C18" s="978"/>
      <c r="D18" s="978"/>
      <c r="E18" s="978"/>
      <c r="F18" s="979"/>
      <c r="G18" s="977"/>
      <c r="H18" s="978"/>
      <c r="I18" s="979"/>
      <c r="J18" s="582"/>
      <c r="K18" s="580"/>
      <c r="L18" s="964"/>
      <c r="M18" s="964"/>
      <c r="N18" s="964"/>
      <c r="O18" s="964"/>
      <c r="P18" s="964"/>
      <c r="Q18" s="964"/>
      <c r="R18" s="964"/>
      <c r="S18" s="964"/>
      <c r="T18" s="964"/>
      <c r="U18" s="578"/>
      <c r="V18" s="578"/>
      <c r="W18" s="581" t="s">
        <v>2868</v>
      </c>
      <c r="X18" s="964"/>
      <c r="Y18" s="964"/>
      <c r="Z18" s="964"/>
      <c r="AA18" s="580" t="s">
        <v>3067</v>
      </c>
      <c r="AB18" s="578"/>
      <c r="AC18" s="965"/>
      <c r="AD18" s="965"/>
      <c r="AE18" s="965"/>
      <c r="AF18" s="577" t="s">
        <v>2762</v>
      </c>
      <c r="AN18" s="592"/>
    </row>
    <row r="19" spans="1:40" s="583" customFormat="1" ht="12.95" customHeight="1">
      <c r="A19" s="576"/>
      <c r="B19" s="977"/>
      <c r="C19" s="978"/>
      <c r="D19" s="978"/>
      <c r="E19" s="978"/>
      <c r="F19" s="979"/>
      <c r="G19" s="977"/>
      <c r="H19" s="978"/>
      <c r="I19" s="979"/>
      <c r="J19" s="587" t="s">
        <v>3174</v>
      </c>
      <c r="K19" s="586"/>
      <c r="L19" s="586"/>
      <c r="M19" s="586"/>
      <c r="N19" s="983"/>
      <c r="O19" s="983"/>
      <c r="P19" s="983"/>
      <c r="Q19" s="983"/>
      <c r="R19" s="983"/>
      <c r="S19" s="983"/>
      <c r="T19" s="983"/>
      <c r="U19" s="983"/>
      <c r="W19" s="585" t="s">
        <v>3175</v>
      </c>
      <c r="X19" s="984"/>
      <c r="Y19" s="984"/>
      <c r="Z19" s="583" t="s">
        <v>3176</v>
      </c>
      <c r="AF19" s="584"/>
      <c r="AN19" s="592"/>
    </row>
    <row r="20" spans="1:40" s="583" customFormat="1" ht="12.95" customHeight="1">
      <c r="A20" s="576"/>
      <c r="B20" s="977"/>
      <c r="C20" s="978"/>
      <c r="D20" s="978"/>
      <c r="E20" s="978"/>
      <c r="F20" s="979"/>
      <c r="G20" s="977"/>
      <c r="H20" s="978"/>
      <c r="I20" s="979"/>
      <c r="J20" s="582"/>
      <c r="K20" s="580"/>
      <c r="L20" s="581" t="s">
        <v>3045</v>
      </c>
      <c r="M20" s="580"/>
      <c r="N20" s="966" t="s">
        <v>3178</v>
      </c>
      <c r="O20" s="966"/>
      <c r="P20" s="966"/>
      <c r="Q20" s="966"/>
      <c r="R20" s="966"/>
      <c r="S20" s="966"/>
      <c r="T20" s="966"/>
      <c r="U20" s="966"/>
      <c r="V20" s="579" t="s">
        <v>2868</v>
      </c>
      <c r="W20" s="965"/>
      <c r="X20" s="965"/>
      <c r="Y20" s="578" t="s">
        <v>3177</v>
      </c>
      <c r="Z20" s="578"/>
      <c r="AA20" s="578"/>
      <c r="AB20" s="578" t="s">
        <v>2831</v>
      </c>
      <c r="AC20" s="965"/>
      <c r="AD20" s="965"/>
      <c r="AE20" s="965"/>
      <c r="AF20" s="577" t="s">
        <v>2762</v>
      </c>
      <c r="AN20" s="592"/>
    </row>
    <row r="21" spans="1:40" s="583" customFormat="1" ht="12.95" customHeight="1">
      <c r="A21" s="576"/>
      <c r="B21" s="977"/>
      <c r="C21" s="978"/>
      <c r="D21" s="978"/>
      <c r="E21" s="978"/>
      <c r="F21" s="979"/>
      <c r="G21" s="977"/>
      <c r="H21" s="978"/>
      <c r="I21" s="979"/>
      <c r="J21" s="967" t="s">
        <v>3180</v>
      </c>
      <c r="K21" s="968"/>
      <c r="L21" s="968"/>
      <c r="M21" s="968"/>
      <c r="N21" s="968"/>
      <c r="O21" s="968"/>
      <c r="P21" s="968"/>
      <c r="Q21" s="969"/>
      <c r="R21" s="969"/>
      <c r="S21" s="969"/>
      <c r="T21" s="969"/>
      <c r="U21" s="969"/>
      <c r="V21" s="970"/>
      <c r="W21" s="970"/>
      <c r="X21" s="970"/>
      <c r="Y21" s="970"/>
      <c r="Z21" s="970"/>
      <c r="AA21" s="970"/>
      <c r="AB21" s="970"/>
      <c r="AC21" s="970"/>
      <c r="AD21" s="970"/>
      <c r="AE21" s="970"/>
      <c r="AF21" s="971"/>
      <c r="AN21" s="592"/>
    </row>
    <row r="22" spans="1:40" s="583" customFormat="1" ht="12.95" customHeight="1">
      <c r="A22" s="576"/>
      <c r="B22" s="977"/>
      <c r="C22" s="978"/>
      <c r="D22" s="978"/>
      <c r="E22" s="978"/>
      <c r="F22" s="979"/>
      <c r="G22" s="977"/>
      <c r="H22" s="978"/>
      <c r="I22" s="979"/>
      <c r="J22" s="591" t="s">
        <v>3171</v>
      </c>
      <c r="K22" s="590"/>
      <c r="L22" s="590"/>
      <c r="M22" s="590"/>
      <c r="N22" s="590"/>
      <c r="O22" s="972"/>
      <c r="P22" s="972"/>
      <c r="Q22" s="972"/>
      <c r="R22" s="972"/>
      <c r="S22" s="972"/>
      <c r="T22" s="972"/>
      <c r="U22" s="972"/>
      <c r="V22" s="972"/>
      <c r="W22" s="972"/>
      <c r="X22" s="972"/>
      <c r="Y22" s="972"/>
      <c r="Z22" s="972"/>
      <c r="AA22" s="972"/>
      <c r="AB22" s="972"/>
      <c r="AC22" s="972"/>
      <c r="AD22" s="972"/>
      <c r="AE22" s="972"/>
      <c r="AF22" s="973"/>
      <c r="AN22" s="592"/>
    </row>
    <row r="23" spans="1:40" s="583" customFormat="1" ht="12.95" customHeight="1">
      <c r="A23" s="576"/>
      <c r="B23" s="977"/>
      <c r="C23" s="978"/>
      <c r="D23" s="978"/>
      <c r="E23" s="978"/>
      <c r="F23" s="979"/>
      <c r="G23" s="977"/>
      <c r="H23" s="978"/>
      <c r="I23" s="979"/>
      <c r="J23" s="589" t="s">
        <v>194</v>
      </c>
      <c r="K23" s="588"/>
      <c r="L23" s="985"/>
      <c r="M23" s="985"/>
      <c r="N23" s="985"/>
      <c r="O23" s="978"/>
      <c r="P23" s="978"/>
      <c r="Q23" s="978"/>
      <c r="R23" s="978"/>
      <c r="S23" s="978"/>
      <c r="T23" s="978"/>
      <c r="W23" s="585" t="s">
        <v>3172</v>
      </c>
      <c r="X23" s="986"/>
      <c r="Y23" s="986"/>
      <c r="Z23" s="583" t="s">
        <v>3173</v>
      </c>
      <c r="AF23" s="584"/>
    </row>
    <row r="24" spans="1:40" s="583" customFormat="1" ht="12.95" customHeight="1">
      <c r="A24" s="576"/>
      <c r="B24" s="977"/>
      <c r="C24" s="978"/>
      <c r="D24" s="978"/>
      <c r="E24" s="978"/>
      <c r="F24" s="979"/>
      <c r="G24" s="977"/>
      <c r="H24" s="978"/>
      <c r="I24" s="979"/>
      <c r="J24" s="582"/>
      <c r="K24" s="580"/>
      <c r="L24" s="964"/>
      <c r="M24" s="964"/>
      <c r="N24" s="964"/>
      <c r="O24" s="964"/>
      <c r="P24" s="964"/>
      <c r="Q24" s="964"/>
      <c r="R24" s="964"/>
      <c r="S24" s="964"/>
      <c r="T24" s="964"/>
      <c r="U24" s="578"/>
      <c r="V24" s="578"/>
      <c r="W24" s="581" t="s">
        <v>2868</v>
      </c>
      <c r="X24" s="964"/>
      <c r="Y24" s="964"/>
      <c r="Z24" s="964"/>
      <c r="AA24" s="580" t="s">
        <v>3067</v>
      </c>
      <c r="AB24" s="578"/>
      <c r="AC24" s="965"/>
      <c r="AD24" s="965"/>
      <c r="AE24" s="965"/>
      <c r="AF24" s="577" t="s">
        <v>2762</v>
      </c>
      <c r="AN24" s="592"/>
    </row>
    <row r="25" spans="1:40" s="583" customFormat="1" ht="12.95" customHeight="1">
      <c r="A25" s="576"/>
      <c r="B25" s="977"/>
      <c r="C25" s="978"/>
      <c r="D25" s="978"/>
      <c r="E25" s="978"/>
      <c r="F25" s="979"/>
      <c r="G25" s="977"/>
      <c r="H25" s="978"/>
      <c r="I25" s="979"/>
      <c r="J25" s="587" t="s">
        <v>3174</v>
      </c>
      <c r="K25" s="586"/>
      <c r="L25" s="586"/>
      <c r="M25" s="586"/>
      <c r="N25" s="983"/>
      <c r="O25" s="983"/>
      <c r="P25" s="983"/>
      <c r="Q25" s="983"/>
      <c r="R25" s="983"/>
      <c r="S25" s="983"/>
      <c r="T25" s="983"/>
      <c r="U25" s="983"/>
      <c r="W25" s="585" t="s">
        <v>3175</v>
      </c>
      <c r="X25" s="984"/>
      <c r="Y25" s="984"/>
      <c r="Z25" s="583" t="s">
        <v>3176</v>
      </c>
      <c r="AF25" s="584"/>
      <c r="AN25" s="592"/>
    </row>
    <row r="26" spans="1:40" s="583" customFormat="1" ht="12.95" customHeight="1">
      <c r="A26" s="576"/>
      <c r="B26" s="977"/>
      <c r="C26" s="978"/>
      <c r="D26" s="978"/>
      <c r="E26" s="978"/>
      <c r="F26" s="979"/>
      <c r="G26" s="977"/>
      <c r="H26" s="978"/>
      <c r="I26" s="979"/>
      <c r="J26" s="582"/>
      <c r="K26" s="580"/>
      <c r="L26" s="581" t="s">
        <v>3045</v>
      </c>
      <c r="M26" s="580"/>
      <c r="N26" s="966" t="s">
        <v>3178</v>
      </c>
      <c r="O26" s="966"/>
      <c r="P26" s="966"/>
      <c r="Q26" s="966"/>
      <c r="R26" s="966"/>
      <c r="S26" s="966"/>
      <c r="T26" s="966"/>
      <c r="U26" s="966"/>
      <c r="V26" s="579" t="s">
        <v>2868</v>
      </c>
      <c r="W26" s="965"/>
      <c r="X26" s="965"/>
      <c r="Y26" s="578" t="s">
        <v>3177</v>
      </c>
      <c r="Z26" s="578"/>
      <c r="AA26" s="578"/>
      <c r="AB26" s="578" t="s">
        <v>2831</v>
      </c>
      <c r="AC26" s="965"/>
      <c r="AD26" s="965"/>
      <c r="AE26" s="965"/>
      <c r="AF26" s="577" t="s">
        <v>2762</v>
      </c>
    </row>
    <row r="27" spans="1:40" s="583" customFormat="1" ht="12.95" customHeight="1">
      <c r="A27" s="576"/>
      <c r="B27" s="977"/>
      <c r="C27" s="978"/>
      <c r="D27" s="978"/>
      <c r="E27" s="978"/>
      <c r="F27" s="979"/>
      <c r="G27" s="977"/>
      <c r="H27" s="978"/>
      <c r="I27" s="979"/>
      <c r="J27" s="967" t="s">
        <v>3180</v>
      </c>
      <c r="K27" s="968"/>
      <c r="L27" s="968"/>
      <c r="M27" s="968"/>
      <c r="N27" s="968"/>
      <c r="O27" s="968"/>
      <c r="P27" s="968"/>
      <c r="Q27" s="969"/>
      <c r="R27" s="969"/>
      <c r="S27" s="969"/>
      <c r="T27" s="969"/>
      <c r="U27" s="969"/>
      <c r="V27" s="970"/>
      <c r="W27" s="970"/>
      <c r="X27" s="970"/>
      <c r="Y27" s="970"/>
      <c r="Z27" s="970"/>
      <c r="AA27" s="970"/>
      <c r="AB27" s="970"/>
      <c r="AC27" s="970"/>
      <c r="AD27" s="970"/>
      <c r="AE27" s="970"/>
      <c r="AF27" s="971"/>
    </row>
    <row r="28" spans="1:40" s="583" customFormat="1" ht="12.95" customHeight="1">
      <c r="B28" s="977"/>
      <c r="C28" s="978"/>
      <c r="D28" s="978"/>
      <c r="E28" s="978"/>
      <c r="F28" s="979"/>
      <c r="G28" s="977"/>
      <c r="H28" s="978"/>
      <c r="I28" s="979"/>
      <c r="J28" s="591" t="s">
        <v>3171</v>
      </c>
      <c r="K28" s="590"/>
      <c r="L28" s="590"/>
      <c r="M28" s="590"/>
      <c r="N28" s="590"/>
      <c r="O28" s="972"/>
      <c r="P28" s="972"/>
      <c r="Q28" s="972"/>
      <c r="R28" s="972"/>
      <c r="S28" s="972"/>
      <c r="T28" s="972"/>
      <c r="U28" s="972"/>
      <c r="V28" s="972"/>
      <c r="W28" s="972"/>
      <c r="X28" s="972"/>
      <c r="Y28" s="972"/>
      <c r="Z28" s="972"/>
      <c r="AA28" s="972"/>
      <c r="AB28" s="972"/>
      <c r="AC28" s="972"/>
      <c r="AD28" s="972"/>
      <c r="AE28" s="972"/>
      <c r="AF28" s="973"/>
      <c r="AH28" s="987"/>
    </row>
    <row r="29" spans="1:40" s="583" customFormat="1" ht="12.95" customHeight="1">
      <c r="B29" s="977"/>
      <c r="C29" s="978"/>
      <c r="D29" s="978"/>
      <c r="E29" s="978"/>
      <c r="F29" s="979"/>
      <c r="G29" s="977"/>
      <c r="H29" s="978"/>
      <c r="I29" s="979"/>
      <c r="J29" s="589" t="s">
        <v>194</v>
      </c>
      <c r="K29" s="588"/>
      <c r="L29" s="985"/>
      <c r="M29" s="985"/>
      <c r="N29" s="985"/>
      <c r="O29" s="978"/>
      <c r="P29" s="978"/>
      <c r="Q29" s="978"/>
      <c r="R29" s="978"/>
      <c r="S29" s="978"/>
      <c r="T29" s="978"/>
      <c r="W29" s="585" t="s">
        <v>3172</v>
      </c>
      <c r="X29" s="986"/>
      <c r="Y29" s="986"/>
      <c r="Z29" s="583" t="s">
        <v>3173</v>
      </c>
      <c r="AF29" s="584"/>
      <c r="AH29" s="987"/>
    </row>
    <row r="30" spans="1:40" s="583" customFormat="1" ht="12.95" customHeight="1">
      <c r="B30" s="977"/>
      <c r="C30" s="978"/>
      <c r="D30" s="978"/>
      <c r="E30" s="978"/>
      <c r="F30" s="979"/>
      <c r="G30" s="977"/>
      <c r="H30" s="978"/>
      <c r="I30" s="979"/>
      <c r="J30" s="582"/>
      <c r="K30" s="580"/>
      <c r="L30" s="964"/>
      <c r="M30" s="964"/>
      <c r="N30" s="964"/>
      <c r="O30" s="964"/>
      <c r="P30" s="964"/>
      <c r="Q30" s="964"/>
      <c r="R30" s="964"/>
      <c r="S30" s="964"/>
      <c r="T30" s="964"/>
      <c r="U30" s="578"/>
      <c r="V30" s="578"/>
      <c r="W30" s="581" t="s">
        <v>2868</v>
      </c>
      <c r="X30" s="964"/>
      <c r="Y30" s="964"/>
      <c r="Z30" s="964"/>
      <c r="AA30" s="580" t="s">
        <v>3067</v>
      </c>
      <c r="AB30" s="578"/>
      <c r="AC30" s="965"/>
      <c r="AD30" s="965"/>
      <c r="AE30" s="965"/>
      <c r="AF30" s="577" t="s">
        <v>2762</v>
      </c>
      <c r="AH30" s="987"/>
    </row>
    <row r="31" spans="1:40" s="583" customFormat="1" ht="12.95" customHeight="1">
      <c r="B31" s="977"/>
      <c r="C31" s="978"/>
      <c r="D31" s="978"/>
      <c r="E31" s="978"/>
      <c r="F31" s="979"/>
      <c r="G31" s="977"/>
      <c r="H31" s="978"/>
      <c r="I31" s="979"/>
      <c r="J31" s="587" t="s">
        <v>3174</v>
      </c>
      <c r="K31" s="586"/>
      <c r="L31" s="586"/>
      <c r="M31" s="586"/>
      <c r="N31" s="983"/>
      <c r="O31" s="983"/>
      <c r="P31" s="983"/>
      <c r="Q31" s="983"/>
      <c r="R31" s="983"/>
      <c r="S31" s="983"/>
      <c r="T31" s="983"/>
      <c r="U31" s="983"/>
      <c r="W31" s="585" t="s">
        <v>3175</v>
      </c>
      <c r="X31" s="984"/>
      <c r="Y31" s="984"/>
      <c r="Z31" s="583" t="s">
        <v>3176</v>
      </c>
      <c r="AF31" s="584"/>
      <c r="AH31" s="987"/>
    </row>
    <row r="32" spans="1:40" s="583" customFormat="1" ht="12.95" customHeight="1">
      <c r="B32" s="977"/>
      <c r="C32" s="978"/>
      <c r="D32" s="978"/>
      <c r="E32" s="978"/>
      <c r="F32" s="979"/>
      <c r="G32" s="977"/>
      <c r="H32" s="978"/>
      <c r="I32" s="979"/>
      <c r="J32" s="582"/>
      <c r="K32" s="580"/>
      <c r="L32" s="581" t="s">
        <v>3045</v>
      </c>
      <c r="M32" s="580"/>
      <c r="N32" s="966" t="s">
        <v>3178</v>
      </c>
      <c r="O32" s="966"/>
      <c r="P32" s="966"/>
      <c r="Q32" s="966"/>
      <c r="R32" s="966"/>
      <c r="S32" s="966"/>
      <c r="T32" s="966"/>
      <c r="U32" s="966"/>
      <c r="V32" s="579" t="s">
        <v>2868</v>
      </c>
      <c r="W32" s="965"/>
      <c r="X32" s="965"/>
      <c r="Y32" s="578" t="s">
        <v>3177</v>
      </c>
      <c r="Z32" s="578"/>
      <c r="AA32" s="578"/>
      <c r="AB32" s="578" t="s">
        <v>2831</v>
      </c>
      <c r="AC32" s="965"/>
      <c r="AD32" s="965"/>
      <c r="AE32" s="965"/>
      <c r="AF32" s="577" t="s">
        <v>2762</v>
      </c>
      <c r="AH32" s="987"/>
    </row>
    <row r="33" spans="2:34" s="583" customFormat="1" ht="12.95" customHeight="1">
      <c r="B33" s="977"/>
      <c r="C33" s="978"/>
      <c r="D33" s="978"/>
      <c r="E33" s="978"/>
      <c r="F33" s="979"/>
      <c r="G33" s="980"/>
      <c r="H33" s="981"/>
      <c r="I33" s="982"/>
      <c r="J33" s="967" t="s">
        <v>3180</v>
      </c>
      <c r="K33" s="968"/>
      <c r="L33" s="968"/>
      <c r="M33" s="968"/>
      <c r="N33" s="968"/>
      <c r="O33" s="968"/>
      <c r="P33" s="968"/>
      <c r="Q33" s="969"/>
      <c r="R33" s="969"/>
      <c r="S33" s="969"/>
      <c r="T33" s="969"/>
      <c r="U33" s="969"/>
      <c r="V33" s="970"/>
      <c r="W33" s="970"/>
      <c r="X33" s="970"/>
      <c r="Y33" s="970"/>
      <c r="Z33" s="970"/>
      <c r="AA33" s="970"/>
      <c r="AB33" s="970"/>
      <c r="AC33" s="970"/>
      <c r="AD33" s="970"/>
      <c r="AE33" s="970"/>
      <c r="AF33" s="971"/>
      <c r="AH33" s="987"/>
    </row>
    <row r="34" spans="2:34" s="583" customFormat="1" ht="12.95" customHeight="1">
      <c r="B34" s="977"/>
      <c r="C34" s="978"/>
      <c r="D34" s="978"/>
      <c r="E34" s="978"/>
      <c r="F34" s="979"/>
      <c r="G34" s="974" t="s">
        <v>3168</v>
      </c>
      <c r="H34" s="975"/>
      <c r="I34" s="976"/>
      <c r="J34" s="591" t="s">
        <v>3171</v>
      </c>
      <c r="K34" s="590"/>
      <c r="L34" s="590"/>
      <c r="M34" s="590"/>
      <c r="N34" s="590"/>
      <c r="O34" s="972"/>
      <c r="P34" s="972"/>
      <c r="Q34" s="972"/>
      <c r="R34" s="972"/>
      <c r="S34" s="972"/>
      <c r="T34" s="972"/>
      <c r="U34" s="972"/>
      <c r="V34" s="972"/>
      <c r="W34" s="972"/>
      <c r="X34" s="972"/>
      <c r="Y34" s="972"/>
      <c r="Z34" s="972"/>
      <c r="AA34" s="972"/>
      <c r="AB34" s="972"/>
      <c r="AC34" s="972"/>
      <c r="AD34" s="972"/>
      <c r="AE34" s="972"/>
      <c r="AF34" s="973"/>
      <c r="AH34" s="987"/>
    </row>
    <row r="35" spans="2:34" s="583" customFormat="1" ht="12.95" customHeight="1">
      <c r="B35" s="977"/>
      <c r="C35" s="978"/>
      <c r="D35" s="978"/>
      <c r="E35" s="978"/>
      <c r="F35" s="979"/>
      <c r="G35" s="977"/>
      <c r="H35" s="978"/>
      <c r="I35" s="979"/>
      <c r="J35" s="589" t="s">
        <v>194</v>
      </c>
      <c r="K35" s="588"/>
      <c r="L35" s="985"/>
      <c r="M35" s="985"/>
      <c r="N35" s="985"/>
      <c r="O35" s="978"/>
      <c r="P35" s="978"/>
      <c r="Q35" s="978"/>
      <c r="R35" s="978"/>
      <c r="S35" s="978"/>
      <c r="T35" s="978"/>
      <c r="W35" s="585" t="s">
        <v>3172</v>
      </c>
      <c r="X35" s="986"/>
      <c r="Y35" s="986"/>
      <c r="Z35" s="583" t="s">
        <v>3173</v>
      </c>
      <c r="AF35" s="584"/>
      <c r="AH35" s="987"/>
    </row>
    <row r="36" spans="2:34" s="583" customFormat="1" ht="12.95" customHeight="1">
      <c r="B36" s="977"/>
      <c r="C36" s="978"/>
      <c r="D36" s="978"/>
      <c r="E36" s="978"/>
      <c r="F36" s="979"/>
      <c r="G36" s="977"/>
      <c r="H36" s="978"/>
      <c r="I36" s="979"/>
      <c r="J36" s="582"/>
      <c r="K36" s="580"/>
      <c r="L36" s="964"/>
      <c r="M36" s="964"/>
      <c r="N36" s="964"/>
      <c r="O36" s="964"/>
      <c r="P36" s="964"/>
      <c r="Q36" s="964"/>
      <c r="R36" s="964"/>
      <c r="S36" s="964"/>
      <c r="T36" s="964"/>
      <c r="U36" s="578"/>
      <c r="V36" s="578"/>
      <c r="W36" s="581" t="s">
        <v>2868</v>
      </c>
      <c r="X36" s="964"/>
      <c r="Y36" s="964"/>
      <c r="Z36" s="964"/>
      <c r="AA36" s="580" t="s">
        <v>3067</v>
      </c>
      <c r="AB36" s="578"/>
      <c r="AC36" s="965"/>
      <c r="AD36" s="965"/>
      <c r="AE36" s="965"/>
      <c r="AF36" s="577" t="s">
        <v>2762</v>
      </c>
      <c r="AH36" s="987"/>
    </row>
    <row r="37" spans="2:34" s="583" customFormat="1" ht="12.95" customHeight="1">
      <c r="B37" s="977"/>
      <c r="C37" s="978"/>
      <c r="D37" s="978"/>
      <c r="E37" s="978"/>
      <c r="F37" s="979"/>
      <c r="G37" s="977"/>
      <c r="H37" s="978"/>
      <c r="I37" s="979"/>
      <c r="J37" s="587" t="s">
        <v>3174</v>
      </c>
      <c r="K37" s="586"/>
      <c r="L37" s="586"/>
      <c r="M37" s="586"/>
      <c r="N37" s="983"/>
      <c r="O37" s="983"/>
      <c r="P37" s="983"/>
      <c r="Q37" s="983"/>
      <c r="R37" s="983"/>
      <c r="S37" s="983"/>
      <c r="T37" s="983"/>
      <c r="U37" s="983"/>
      <c r="W37" s="585" t="s">
        <v>3175</v>
      </c>
      <c r="X37" s="984"/>
      <c r="Y37" s="984"/>
      <c r="Z37" s="583" t="s">
        <v>3176</v>
      </c>
      <c r="AF37" s="584"/>
      <c r="AH37" s="987"/>
    </row>
    <row r="38" spans="2:34" s="583" customFormat="1" ht="12.95" customHeight="1">
      <c r="B38" s="977"/>
      <c r="C38" s="978"/>
      <c r="D38" s="978"/>
      <c r="E38" s="978"/>
      <c r="F38" s="979"/>
      <c r="G38" s="977"/>
      <c r="H38" s="978"/>
      <c r="I38" s="979"/>
      <c r="J38" s="582"/>
      <c r="K38" s="580"/>
      <c r="L38" s="581" t="s">
        <v>3045</v>
      </c>
      <c r="M38" s="580"/>
      <c r="N38" s="966" t="s">
        <v>3178</v>
      </c>
      <c r="O38" s="966"/>
      <c r="P38" s="966"/>
      <c r="Q38" s="966"/>
      <c r="R38" s="966"/>
      <c r="S38" s="966"/>
      <c r="T38" s="966"/>
      <c r="U38" s="966"/>
      <c r="V38" s="579" t="s">
        <v>2868</v>
      </c>
      <c r="W38" s="965"/>
      <c r="X38" s="965"/>
      <c r="Y38" s="578" t="s">
        <v>3177</v>
      </c>
      <c r="Z38" s="578"/>
      <c r="AA38" s="578"/>
      <c r="AB38" s="578" t="s">
        <v>2831</v>
      </c>
      <c r="AC38" s="965"/>
      <c r="AD38" s="965"/>
      <c r="AE38" s="965"/>
      <c r="AF38" s="577" t="s">
        <v>2762</v>
      </c>
    </row>
    <row r="39" spans="2:34" s="583" customFormat="1" ht="12.95" customHeight="1">
      <c r="B39" s="977"/>
      <c r="C39" s="978"/>
      <c r="D39" s="978"/>
      <c r="E39" s="978"/>
      <c r="F39" s="979"/>
      <c r="G39" s="977"/>
      <c r="H39" s="978"/>
      <c r="I39" s="979"/>
      <c r="J39" s="967" t="s">
        <v>3180</v>
      </c>
      <c r="K39" s="968"/>
      <c r="L39" s="968"/>
      <c r="M39" s="968"/>
      <c r="N39" s="968"/>
      <c r="O39" s="968"/>
      <c r="P39" s="968"/>
      <c r="Q39" s="969"/>
      <c r="R39" s="969"/>
      <c r="S39" s="969"/>
      <c r="T39" s="969"/>
      <c r="U39" s="969"/>
      <c r="V39" s="970"/>
      <c r="W39" s="970"/>
      <c r="X39" s="970"/>
      <c r="Y39" s="970"/>
      <c r="Z39" s="970"/>
      <c r="AA39" s="970"/>
      <c r="AB39" s="970"/>
      <c r="AC39" s="970"/>
      <c r="AD39" s="970"/>
      <c r="AE39" s="970"/>
      <c r="AF39" s="971"/>
    </row>
    <row r="40" spans="2:34" s="583" customFormat="1" ht="12.95" customHeight="1">
      <c r="B40" s="977"/>
      <c r="C40" s="978"/>
      <c r="D40" s="978"/>
      <c r="E40" s="978"/>
      <c r="F40" s="979"/>
      <c r="G40" s="977"/>
      <c r="H40" s="978"/>
      <c r="I40" s="979"/>
      <c r="J40" s="591" t="s">
        <v>3171</v>
      </c>
      <c r="K40" s="590"/>
      <c r="L40" s="590"/>
      <c r="M40" s="590"/>
      <c r="N40" s="590"/>
      <c r="O40" s="972"/>
      <c r="P40" s="972"/>
      <c r="Q40" s="972"/>
      <c r="R40" s="972"/>
      <c r="S40" s="972"/>
      <c r="T40" s="972"/>
      <c r="U40" s="972"/>
      <c r="V40" s="972"/>
      <c r="W40" s="972"/>
      <c r="X40" s="972"/>
      <c r="Y40" s="972"/>
      <c r="Z40" s="972"/>
      <c r="AA40" s="972"/>
      <c r="AB40" s="972"/>
      <c r="AC40" s="972"/>
      <c r="AD40" s="972"/>
      <c r="AE40" s="972"/>
      <c r="AF40" s="973"/>
    </row>
    <row r="41" spans="2:34" s="583" customFormat="1" ht="12.95" customHeight="1">
      <c r="B41" s="977"/>
      <c r="C41" s="978"/>
      <c r="D41" s="978"/>
      <c r="E41" s="978"/>
      <c r="F41" s="979"/>
      <c r="G41" s="977"/>
      <c r="H41" s="978"/>
      <c r="I41" s="979"/>
      <c r="J41" s="589" t="s">
        <v>194</v>
      </c>
      <c r="K41" s="588"/>
      <c r="L41" s="985"/>
      <c r="M41" s="985"/>
      <c r="N41" s="985"/>
      <c r="O41" s="978"/>
      <c r="P41" s="978"/>
      <c r="Q41" s="978"/>
      <c r="R41" s="978"/>
      <c r="S41" s="978"/>
      <c r="T41" s="978"/>
      <c r="W41" s="585" t="s">
        <v>3172</v>
      </c>
      <c r="X41" s="986"/>
      <c r="Y41" s="986"/>
      <c r="Z41" s="583" t="s">
        <v>3173</v>
      </c>
      <c r="AF41" s="584"/>
    </row>
    <row r="42" spans="2:34" s="583" customFormat="1" ht="12.95" customHeight="1">
      <c r="B42" s="977"/>
      <c r="C42" s="978"/>
      <c r="D42" s="978"/>
      <c r="E42" s="978"/>
      <c r="F42" s="979"/>
      <c r="G42" s="977"/>
      <c r="H42" s="978"/>
      <c r="I42" s="979"/>
      <c r="J42" s="582"/>
      <c r="K42" s="580"/>
      <c r="L42" s="964"/>
      <c r="M42" s="964"/>
      <c r="N42" s="964"/>
      <c r="O42" s="964"/>
      <c r="P42" s="964"/>
      <c r="Q42" s="964"/>
      <c r="R42" s="964"/>
      <c r="S42" s="964"/>
      <c r="T42" s="964"/>
      <c r="U42" s="578"/>
      <c r="V42" s="578"/>
      <c r="W42" s="581" t="s">
        <v>2868</v>
      </c>
      <c r="X42" s="964"/>
      <c r="Y42" s="964"/>
      <c r="Z42" s="964"/>
      <c r="AA42" s="580" t="s">
        <v>3067</v>
      </c>
      <c r="AB42" s="578"/>
      <c r="AC42" s="965"/>
      <c r="AD42" s="965"/>
      <c r="AE42" s="965"/>
      <c r="AF42" s="577" t="s">
        <v>2762</v>
      </c>
    </row>
    <row r="43" spans="2:34" s="583" customFormat="1" ht="12.95" customHeight="1">
      <c r="B43" s="977"/>
      <c r="C43" s="978"/>
      <c r="D43" s="978"/>
      <c r="E43" s="978"/>
      <c r="F43" s="979"/>
      <c r="G43" s="977"/>
      <c r="H43" s="978"/>
      <c r="I43" s="979"/>
      <c r="J43" s="587" t="s">
        <v>3174</v>
      </c>
      <c r="K43" s="586"/>
      <c r="L43" s="586"/>
      <c r="M43" s="586"/>
      <c r="N43" s="983"/>
      <c r="O43" s="983"/>
      <c r="P43" s="983"/>
      <c r="Q43" s="983"/>
      <c r="R43" s="983"/>
      <c r="S43" s="983"/>
      <c r="T43" s="983"/>
      <c r="U43" s="983"/>
      <c r="W43" s="585" t="s">
        <v>3175</v>
      </c>
      <c r="X43" s="984"/>
      <c r="Y43" s="984"/>
      <c r="Z43" s="583" t="s">
        <v>3176</v>
      </c>
      <c r="AF43" s="584"/>
    </row>
    <row r="44" spans="2:34" s="583" customFormat="1" ht="12.95" customHeight="1">
      <c r="B44" s="977"/>
      <c r="C44" s="978"/>
      <c r="D44" s="978"/>
      <c r="E44" s="978"/>
      <c r="F44" s="979"/>
      <c r="G44" s="977"/>
      <c r="H44" s="978"/>
      <c r="I44" s="979"/>
      <c r="J44" s="582"/>
      <c r="K44" s="580"/>
      <c r="L44" s="581" t="s">
        <v>3045</v>
      </c>
      <c r="M44" s="580"/>
      <c r="N44" s="966" t="s">
        <v>3178</v>
      </c>
      <c r="O44" s="966"/>
      <c r="P44" s="966"/>
      <c r="Q44" s="966"/>
      <c r="R44" s="966"/>
      <c r="S44" s="966"/>
      <c r="T44" s="966"/>
      <c r="U44" s="966"/>
      <c r="V44" s="579" t="s">
        <v>2868</v>
      </c>
      <c r="W44" s="965"/>
      <c r="X44" s="965"/>
      <c r="Y44" s="578" t="s">
        <v>3177</v>
      </c>
      <c r="Z44" s="578"/>
      <c r="AA44" s="578"/>
      <c r="AB44" s="578" t="s">
        <v>2831</v>
      </c>
      <c r="AC44" s="965"/>
      <c r="AD44" s="965"/>
      <c r="AE44" s="965"/>
      <c r="AF44" s="577" t="s">
        <v>2762</v>
      </c>
    </row>
    <row r="45" spans="2:34" s="583" customFormat="1" ht="12.95" customHeight="1">
      <c r="B45" s="977"/>
      <c r="C45" s="978"/>
      <c r="D45" s="978"/>
      <c r="E45" s="978"/>
      <c r="F45" s="979"/>
      <c r="G45" s="977"/>
      <c r="H45" s="978"/>
      <c r="I45" s="979"/>
      <c r="J45" s="967" t="s">
        <v>3180</v>
      </c>
      <c r="K45" s="968"/>
      <c r="L45" s="968"/>
      <c r="M45" s="968"/>
      <c r="N45" s="968"/>
      <c r="O45" s="968"/>
      <c r="P45" s="968"/>
      <c r="Q45" s="969"/>
      <c r="R45" s="969"/>
      <c r="S45" s="969"/>
      <c r="T45" s="969"/>
      <c r="U45" s="969"/>
      <c r="V45" s="970"/>
      <c r="W45" s="970"/>
      <c r="X45" s="970"/>
      <c r="Y45" s="970"/>
      <c r="Z45" s="970"/>
      <c r="AA45" s="970"/>
      <c r="AB45" s="970"/>
      <c r="AC45" s="970"/>
      <c r="AD45" s="970"/>
      <c r="AE45" s="970"/>
      <c r="AF45" s="971"/>
    </row>
    <row r="46" spans="2:34" s="583" customFormat="1" ht="12.95" customHeight="1">
      <c r="B46" s="977"/>
      <c r="C46" s="978"/>
      <c r="D46" s="978"/>
      <c r="E46" s="978"/>
      <c r="F46" s="979"/>
      <c r="G46" s="977"/>
      <c r="H46" s="978"/>
      <c r="I46" s="979"/>
      <c r="J46" s="591" t="s">
        <v>3171</v>
      </c>
      <c r="K46" s="590"/>
      <c r="L46" s="590"/>
      <c r="M46" s="590"/>
      <c r="N46" s="590"/>
      <c r="O46" s="972"/>
      <c r="P46" s="972"/>
      <c r="Q46" s="972"/>
      <c r="R46" s="972"/>
      <c r="S46" s="972"/>
      <c r="T46" s="972"/>
      <c r="U46" s="972"/>
      <c r="V46" s="972"/>
      <c r="W46" s="972"/>
      <c r="X46" s="972"/>
      <c r="Y46" s="972"/>
      <c r="Z46" s="972"/>
      <c r="AA46" s="972"/>
      <c r="AB46" s="972"/>
      <c r="AC46" s="972"/>
      <c r="AD46" s="972"/>
      <c r="AE46" s="972"/>
      <c r="AF46" s="973"/>
    </row>
    <row r="47" spans="2:34" s="583" customFormat="1" ht="12.95" customHeight="1">
      <c r="B47" s="977"/>
      <c r="C47" s="978"/>
      <c r="D47" s="978"/>
      <c r="E47" s="978"/>
      <c r="F47" s="979"/>
      <c r="G47" s="977"/>
      <c r="H47" s="978"/>
      <c r="I47" s="979"/>
      <c r="J47" s="589" t="s">
        <v>194</v>
      </c>
      <c r="K47" s="588"/>
      <c r="L47" s="985"/>
      <c r="M47" s="985"/>
      <c r="N47" s="985"/>
      <c r="O47" s="978"/>
      <c r="P47" s="978"/>
      <c r="Q47" s="978"/>
      <c r="R47" s="978"/>
      <c r="S47" s="978"/>
      <c r="T47" s="978"/>
      <c r="W47" s="585" t="s">
        <v>3172</v>
      </c>
      <c r="X47" s="986"/>
      <c r="Y47" s="986"/>
      <c r="Z47" s="583" t="s">
        <v>3173</v>
      </c>
      <c r="AF47" s="584"/>
    </row>
    <row r="48" spans="2:34" s="583" customFormat="1" ht="12.95" customHeight="1">
      <c r="B48" s="977"/>
      <c r="C48" s="978"/>
      <c r="D48" s="978"/>
      <c r="E48" s="978"/>
      <c r="F48" s="979"/>
      <c r="G48" s="977"/>
      <c r="H48" s="978"/>
      <c r="I48" s="979"/>
      <c r="J48" s="582"/>
      <c r="K48" s="580"/>
      <c r="L48" s="964"/>
      <c r="M48" s="964"/>
      <c r="N48" s="964"/>
      <c r="O48" s="964"/>
      <c r="P48" s="964"/>
      <c r="Q48" s="964"/>
      <c r="R48" s="964"/>
      <c r="S48" s="964"/>
      <c r="T48" s="964"/>
      <c r="U48" s="578"/>
      <c r="V48" s="578"/>
      <c r="W48" s="581" t="s">
        <v>2868</v>
      </c>
      <c r="X48" s="964"/>
      <c r="Y48" s="964"/>
      <c r="Z48" s="964"/>
      <c r="AA48" s="580" t="s">
        <v>3067</v>
      </c>
      <c r="AB48" s="578"/>
      <c r="AC48" s="965"/>
      <c r="AD48" s="965"/>
      <c r="AE48" s="965"/>
      <c r="AF48" s="577" t="s">
        <v>2762</v>
      </c>
    </row>
    <row r="49" spans="1:32" s="583" customFormat="1" ht="12.95" customHeight="1">
      <c r="B49" s="977"/>
      <c r="C49" s="978"/>
      <c r="D49" s="978"/>
      <c r="E49" s="978"/>
      <c r="F49" s="979"/>
      <c r="G49" s="977"/>
      <c r="H49" s="978"/>
      <c r="I49" s="979"/>
      <c r="J49" s="587" t="s">
        <v>3174</v>
      </c>
      <c r="K49" s="586"/>
      <c r="L49" s="586"/>
      <c r="M49" s="586"/>
      <c r="N49" s="983"/>
      <c r="O49" s="983"/>
      <c r="P49" s="983"/>
      <c r="Q49" s="983"/>
      <c r="R49" s="983"/>
      <c r="S49" s="983"/>
      <c r="T49" s="983"/>
      <c r="U49" s="983"/>
      <c r="W49" s="585" t="s">
        <v>3175</v>
      </c>
      <c r="X49" s="984"/>
      <c r="Y49" s="984"/>
      <c r="Z49" s="583" t="s">
        <v>3176</v>
      </c>
      <c r="AF49" s="584"/>
    </row>
    <row r="50" spans="1:32" s="583" customFormat="1" ht="12.95" customHeight="1">
      <c r="B50" s="977"/>
      <c r="C50" s="978"/>
      <c r="D50" s="978"/>
      <c r="E50" s="978"/>
      <c r="F50" s="979"/>
      <c r="G50" s="977"/>
      <c r="H50" s="978"/>
      <c r="I50" s="979"/>
      <c r="J50" s="582"/>
      <c r="K50" s="580"/>
      <c r="L50" s="581" t="s">
        <v>3045</v>
      </c>
      <c r="M50" s="580"/>
      <c r="N50" s="966" t="s">
        <v>3178</v>
      </c>
      <c r="O50" s="966"/>
      <c r="P50" s="966"/>
      <c r="Q50" s="966"/>
      <c r="R50" s="966"/>
      <c r="S50" s="966"/>
      <c r="T50" s="966"/>
      <c r="U50" s="966"/>
      <c r="V50" s="579" t="s">
        <v>2868</v>
      </c>
      <c r="W50" s="965"/>
      <c r="X50" s="965"/>
      <c r="Y50" s="578" t="s">
        <v>3177</v>
      </c>
      <c r="Z50" s="578"/>
      <c r="AA50" s="578"/>
      <c r="AB50" s="578" t="s">
        <v>2831</v>
      </c>
      <c r="AC50" s="965"/>
      <c r="AD50" s="965"/>
      <c r="AE50" s="965"/>
      <c r="AF50" s="577" t="s">
        <v>2762</v>
      </c>
    </row>
    <row r="51" spans="1:32" s="583" customFormat="1" ht="12.95" customHeight="1">
      <c r="B51" s="977"/>
      <c r="C51" s="978"/>
      <c r="D51" s="978"/>
      <c r="E51" s="978"/>
      <c r="F51" s="979"/>
      <c r="G51" s="977"/>
      <c r="H51" s="978"/>
      <c r="I51" s="979"/>
      <c r="J51" s="967" t="s">
        <v>3180</v>
      </c>
      <c r="K51" s="968"/>
      <c r="L51" s="968"/>
      <c r="M51" s="968"/>
      <c r="N51" s="968"/>
      <c r="O51" s="968"/>
      <c r="P51" s="968"/>
      <c r="Q51" s="969"/>
      <c r="R51" s="969"/>
      <c r="S51" s="969"/>
      <c r="T51" s="969"/>
      <c r="U51" s="969"/>
      <c r="V51" s="970"/>
      <c r="W51" s="970"/>
      <c r="X51" s="970"/>
      <c r="Y51" s="970"/>
      <c r="Z51" s="970"/>
      <c r="AA51" s="970"/>
      <c r="AB51" s="970"/>
      <c r="AC51" s="970"/>
      <c r="AD51" s="970"/>
      <c r="AE51" s="970"/>
      <c r="AF51" s="971"/>
    </row>
    <row r="52" spans="1:32" s="583" customFormat="1" ht="12.95" customHeight="1">
      <c r="A52" s="576"/>
      <c r="B52" s="977"/>
      <c r="C52" s="978"/>
      <c r="D52" s="978"/>
      <c r="E52" s="978"/>
      <c r="F52" s="979"/>
      <c r="G52" s="977"/>
      <c r="H52" s="978"/>
      <c r="I52" s="979"/>
      <c r="J52" s="591" t="s">
        <v>3171</v>
      </c>
      <c r="K52" s="590"/>
      <c r="L52" s="590"/>
      <c r="M52" s="590"/>
      <c r="N52" s="590"/>
      <c r="O52" s="972"/>
      <c r="P52" s="972"/>
      <c r="Q52" s="972"/>
      <c r="R52" s="972"/>
      <c r="S52" s="972"/>
      <c r="T52" s="972"/>
      <c r="U52" s="972"/>
      <c r="V52" s="972"/>
      <c r="W52" s="972"/>
      <c r="X52" s="972"/>
      <c r="Y52" s="972"/>
      <c r="Z52" s="972"/>
      <c r="AA52" s="972"/>
      <c r="AB52" s="972"/>
      <c r="AC52" s="972"/>
      <c r="AD52" s="972"/>
      <c r="AE52" s="972"/>
      <c r="AF52" s="973"/>
    </row>
    <row r="53" spans="1:32" s="583" customFormat="1" ht="12.95" customHeight="1">
      <c r="A53" s="576"/>
      <c r="B53" s="977"/>
      <c r="C53" s="978"/>
      <c r="D53" s="978"/>
      <c r="E53" s="978"/>
      <c r="F53" s="979"/>
      <c r="G53" s="977"/>
      <c r="H53" s="978"/>
      <c r="I53" s="979"/>
      <c r="J53" s="589" t="s">
        <v>194</v>
      </c>
      <c r="K53" s="588"/>
      <c r="L53" s="985"/>
      <c r="M53" s="985"/>
      <c r="N53" s="985"/>
      <c r="O53" s="978"/>
      <c r="P53" s="978"/>
      <c r="Q53" s="978"/>
      <c r="R53" s="978"/>
      <c r="S53" s="978"/>
      <c r="T53" s="978"/>
      <c r="W53" s="585" t="s">
        <v>3172</v>
      </c>
      <c r="X53" s="986"/>
      <c r="Y53" s="986"/>
      <c r="Z53" s="583" t="s">
        <v>3173</v>
      </c>
      <c r="AF53" s="584"/>
    </row>
    <row r="54" spans="1:32" s="583" customFormat="1" ht="12.95" customHeight="1">
      <c r="A54" s="576"/>
      <c r="B54" s="977"/>
      <c r="C54" s="978"/>
      <c r="D54" s="978"/>
      <c r="E54" s="978"/>
      <c r="F54" s="979"/>
      <c r="G54" s="977"/>
      <c r="H54" s="978"/>
      <c r="I54" s="979"/>
      <c r="J54" s="582"/>
      <c r="K54" s="580"/>
      <c r="L54" s="964"/>
      <c r="M54" s="964"/>
      <c r="N54" s="964"/>
      <c r="O54" s="964"/>
      <c r="P54" s="964"/>
      <c r="Q54" s="964"/>
      <c r="R54" s="964"/>
      <c r="S54" s="964"/>
      <c r="T54" s="964"/>
      <c r="U54" s="578"/>
      <c r="V54" s="578"/>
      <c r="W54" s="581" t="s">
        <v>2868</v>
      </c>
      <c r="X54" s="964"/>
      <c r="Y54" s="964"/>
      <c r="Z54" s="964"/>
      <c r="AA54" s="580" t="s">
        <v>3067</v>
      </c>
      <c r="AB54" s="578"/>
      <c r="AC54" s="965"/>
      <c r="AD54" s="965"/>
      <c r="AE54" s="965"/>
      <c r="AF54" s="577" t="s">
        <v>2762</v>
      </c>
    </row>
    <row r="55" spans="1:32" s="583" customFormat="1" ht="12.95" customHeight="1">
      <c r="A55" s="576"/>
      <c r="B55" s="977"/>
      <c r="C55" s="978"/>
      <c r="D55" s="978"/>
      <c r="E55" s="978"/>
      <c r="F55" s="979"/>
      <c r="G55" s="977"/>
      <c r="H55" s="978"/>
      <c r="I55" s="979"/>
      <c r="J55" s="587" t="s">
        <v>3174</v>
      </c>
      <c r="K55" s="586"/>
      <c r="L55" s="586"/>
      <c r="M55" s="586"/>
      <c r="N55" s="983"/>
      <c r="O55" s="983"/>
      <c r="P55" s="983"/>
      <c r="Q55" s="983"/>
      <c r="R55" s="983"/>
      <c r="S55" s="983"/>
      <c r="T55" s="983"/>
      <c r="U55" s="983"/>
      <c r="W55" s="585" t="s">
        <v>3175</v>
      </c>
      <c r="X55" s="984"/>
      <c r="Y55" s="984"/>
      <c r="Z55" s="583" t="s">
        <v>3176</v>
      </c>
      <c r="AF55" s="584"/>
    </row>
    <row r="56" spans="1:32" s="583" customFormat="1" ht="12.95" customHeight="1">
      <c r="A56" s="576"/>
      <c r="B56" s="977"/>
      <c r="C56" s="978"/>
      <c r="D56" s="978"/>
      <c r="E56" s="978"/>
      <c r="F56" s="979"/>
      <c r="G56" s="977"/>
      <c r="H56" s="978"/>
      <c r="I56" s="979"/>
      <c r="J56" s="582"/>
      <c r="K56" s="580"/>
      <c r="L56" s="581" t="s">
        <v>3045</v>
      </c>
      <c r="M56" s="580"/>
      <c r="N56" s="966" t="s">
        <v>3178</v>
      </c>
      <c r="O56" s="966"/>
      <c r="P56" s="966"/>
      <c r="Q56" s="966"/>
      <c r="R56" s="966"/>
      <c r="S56" s="966"/>
      <c r="T56" s="966"/>
      <c r="U56" s="966"/>
      <c r="V56" s="579" t="s">
        <v>2868</v>
      </c>
      <c r="W56" s="965"/>
      <c r="X56" s="965"/>
      <c r="Y56" s="578" t="s">
        <v>3177</v>
      </c>
      <c r="Z56" s="578"/>
      <c r="AA56" s="578"/>
      <c r="AB56" s="578" t="s">
        <v>2831</v>
      </c>
      <c r="AC56" s="965"/>
      <c r="AD56" s="965"/>
      <c r="AE56" s="965"/>
      <c r="AF56" s="577" t="s">
        <v>2762</v>
      </c>
    </row>
    <row r="57" spans="1:32" s="583" customFormat="1" ht="12.95" customHeight="1">
      <c r="A57" s="576"/>
      <c r="B57" s="977"/>
      <c r="C57" s="978"/>
      <c r="D57" s="978"/>
      <c r="E57" s="978"/>
      <c r="F57" s="979"/>
      <c r="G57" s="977"/>
      <c r="H57" s="978"/>
      <c r="I57" s="979"/>
      <c r="J57" s="967" t="s">
        <v>3180</v>
      </c>
      <c r="K57" s="968"/>
      <c r="L57" s="968"/>
      <c r="M57" s="968"/>
      <c r="N57" s="968"/>
      <c r="O57" s="968"/>
      <c r="P57" s="968"/>
      <c r="Q57" s="969"/>
      <c r="R57" s="969"/>
      <c r="S57" s="969"/>
      <c r="T57" s="969"/>
      <c r="U57" s="969"/>
      <c r="V57" s="970"/>
      <c r="W57" s="970"/>
      <c r="X57" s="970"/>
      <c r="Y57" s="970"/>
      <c r="Z57" s="970"/>
      <c r="AA57" s="970"/>
      <c r="AB57" s="970"/>
      <c r="AC57" s="970"/>
      <c r="AD57" s="970"/>
      <c r="AE57" s="970"/>
      <c r="AF57" s="971"/>
    </row>
    <row r="58" spans="1:32" s="583" customFormat="1" ht="12.95" customHeight="1">
      <c r="A58" s="576"/>
      <c r="B58" s="977"/>
      <c r="C58" s="978"/>
      <c r="D58" s="978"/>
      <c r="E58" s="978"/>
      <c r="F58" s="979"/>
      <c r="G58" s="977"/>
      <c r="H58" s="978"/>
      <c r="I58" s="979"/>
      <c r="J58" s="591" t="s">
        <v>3171</v>
      </c>
      <c r="K58" s="590"/>
      <c r="L58" s="590"/>
      <c r="M58" s="590"/>
      <c r="N58" s="590"/>
      <c r="O58" s="972"/>
      <c r="P58" s="972"/>
      <c r="Q58" s="972"/>
      <c r="R58" s="972"/>
      <c r="S58" s="972"/>
      <c r="T58" s="972"/>
      <c r="U58" s="972"/>
      <c r="V58" s="972"/>
      <c r="W58" s="972"/>
      <c r="X58" s="972"/>
      <c r="Y58" s="972"/>
      <c r="Z58" s="972"/>
      <c r="AA58" s="972"/>
      <c r="AB58" s="972"/>
      <c r="AC58" s="972"/>
      <c r="AD58" s="972"/>
      <c r="AE58" s="972"/>
      <c r="AF58" s="973"/>
    </row>
    <row r="59" spans="1:32" s="583" customFormat="1" ht="12.95" customHeight="1">
      <c r="A59" s="576"/>
      <c r="B59" s="977"/>
      <c r="C59" s="978"/>
      <c r="D59" s="978"/>
      <c r="E59" s="978"/>
      <c r="F59" s="979"/>
      <c r="G59" s="977"/>
      <c r="H59" s="978"/>
      <c r="I59" s="979"/>
      <c r="J59" s="589" t="s">
        <v>194</v>
      </c>
      <c r="K59" s="588"/>
      <c r="L59" s="985"/>
      <c r="M59" s="985"/>
      <c r="N59" s="985"/>
      <c r="O59" s="978"/>
      <c r="P59" s="978"/>
      <c r="Q59" s="978"/>
      <c r="R59" s="978"/>
      <c r="S59" s="978"/>
      <c r="T59" s="978"/>
      <c r="W59" s="585" t="s">
        <v>3172</v>
      </c>
      <c r="X59" s="986"/>
      <c r="Y59" s="986"/>
      <c r="Z59" s="583" t="s">
        <v>3173</v>
      </c>
      <c r="AF59" s="584"/>
    </row>
    <row r="60" spans="1:32" s="583" customFormat="1" ht="12.95" customHeight="1">
      <c r="A60" s="576"/>
      <c r="B60" s="977"/>
      <c r="C60" s="978"/>
      <c r="D60" s="978"/>
      <c r="E60" s="978"/>
      <c r="F60" s="979"/>
      <c r="G60" s="977"/>
      <c r="H60" s="978"/>
      <c r="I60" s="979"/>
      <c r="J60" s="582"/>
      <c r="K60" s="580"/>
      <c r="L60" s="964"/>
      <c r="M60" s="964"/>
      <c r="N60" s="964"/>
      <c r="O60" s="964"/>
      <c r="P60" s="964"/>
      <c r="Q60" s="964"/>
      <c r="R60" s="964"/>
      <c r="S60" s="964"/>
      <c r="T60" s="964"/>
      <c r="U60" s="578"/>
      <c r="V60" s="578"/>
      <c r="W60" s="581" t="s">
        <v>2868</v>
      </c>
      <c r="X60" s="964"/>
      <c r="Y60" s="964"/>
      <c r="Z60" s="964"/>
      <c r="AA60" s="580" t="s">
        <v>3067</v>
      </c>
      <c r="AB60" s="578"/>
      <c r="AC60" s="965"/>
      <c r="AD60" s="965"/>
      <c r="AE60" s="965"/>
      <c r="AF60" s="577" t="s">
        <v>2762</v>
      </c>
    </row>
    <row r="61" spans="1:32" s="583" customFormat="1" ht="12.95" customHeight="1">
      <c r="A61" s="576"/>
      <c r="B61" s="977"/>
      <c r="C61" s="978"/>
      <c r="D61" s="978"/>
      <c r="E61" s="978"/>
      <c r="F61" s="979"/>
      <c r="G61" s="977"/>
      <c r="H61" s="978"/>
      <c r="I61" s="979"/>
      <c r="J61" s="587" t="s">
        <v>3174</v>
      </c>
      <c r="K61" s="586"/>
      <c r="L61" s="586"/>
      <c r="M61" s="586"/>
      <c r="N61" s="983"/>
      <c r="O61" s="983"/>
      <c r="P61" s="983"/>
      <c r="Q61" s="983"/>
      <c r="R61" s="983"/>
      <c r="S61" s="983"/>
      <c r="T61" s="983"/>
      <c r="U61" s="983"/>
      <c r="W61" s="585" t="s">
        <v>3175</v>
      </c>
      <c r="X61" s="984"/>
      <c r="Y61" s="984"/>
      <c r="Z61" s="583" t="s">
        <v>3176</v>
      </c>
      <c r="AF61" s="584"/>
    </row>
    <row r="62" spans="1:32" ht="12" customHeight="1">
      <c r="B62" s="977"/>
      <c r="C62" s="978"/>
      <c r="D62" s="978"/>
      <c r="E62" s="978"/>
      <c r="F62" s="979"/>
      <c r="G62" s="977"/>
      <c r="H62" s="978"/>
      <c r="I62" s="979"/>
      <c r="J62" s="582"/>
      <c r="K62" s="580"/>
      <c r="L62" s="581" t="s">
        <v>3045</v>
      </c>
      <c r="M62" s="580"/>
      <c r="N62" s="966" t="s">
        <v>3178</v>
      </c>
      <c r="O62" s="966"/>
      <c r="P62" s="966"/>
      <c r="Q62" s="966"/>
      <c r="R62" s="966"/>
      <c r="S62" s="966"/>
      <c r="T62" s="966"/>
      <c r="U62" s="966"/>
      <c r="V62" s="579" t="s">
        <v>2868</v>
      </c>
      <c r="W62" s="965"/>
      <c r="X62" s="965"/>
      <c r="Y62" s="578" t="s">
        <v>3177</v>
      </c>
      <c r="Z62" s="578"/>
      <c r="AA62" s="578"/>
      <c r="AB62" s="578" t="s">
        <v>2831</v>
      </c>
      <c r="AC62" s="965"/>
      <c r="AD62" s="965"/>
      <c r="AE62" s="965"/>
      <c r="AF62" s="577" t="s">
        <v>2762</v>
      </c>
    </row>
    <row r="63" spans="1:32" ht="12" customHeight="1">
      <c r="B63" s="980"/>
      <c r="C63" s="981"/>
      <c r="D63" s="981"/>
      <c r="E63" s="981"/>
      <c r="F63" s="982"/>
      <c r="G63" s="980"/>
      <c r="H63" s="981"/>
      <c r="I63" s="982"/>
      <c r="J63" s="967" t="s">
        <v>3180</v>
      </c>
      <c r="K63" s="968"/>
      <c r="L63" s="968"/>
      <c r="M63" s="968"/>
      <c r="N63" s="968"/>
      <c r="O63" s="968"/>
      <c r="P63" s="968"/>
      <c r="Q63" s="969"/>
      <c r="R63" s="969"/>
      <c r="S63" s="969"/>
      <c r="T63" s="969"/>
      <c r="U63" s="969"/>
      <c r="V63" s="970"/>
      <c r="W63" s="970"/>
      <c r="X63" s="970"/>
      <c r="Y63" s="970"/>
      <c r="Z63" s="970"/>
      <c r="AA63" s="970"/>
      <c r="AB63" s="970"/>
      <c r="AC63" s="970"/>
      <c r="AD63" s="970"/>
      <c r="AE63" s="970"/>
      <c r="AF63" s="971"/>
    </row>
  </sheetData>
  <mergeCells count="136">
    <mergeCell ref="L12:T12"/>
    <mergeCell ref="X12:Z12"/>
    <mergeCell ref="N13:U13"/>
    <mergeCell ref="X13:Y13"/>
    <mergeCell ref="N14:U14"/>
    <mergeCell ref="O16:AF16"/>
    <mergeCell ref="L17:T17"/>
    <mergeCell ref="X17:Y17"/>
    <mergeCell ref="AC12:AE12"/>
    <mergeCell ref="B2:AD2"/>
    <mergeCell ref="O4:AF4"/>
    <mergeCell ref="L5:T5"/>
    <mergeCell ref="X5:Y5"/>
    <mergeCell ref="L6:T6"/>
    <mergeCell ref="X6:Z6"/>
    <mergeCell ref="AC6:AE6"/>
    <mergeCell ref="O10:AF10"/>
    <mergeCell ref="L11:T11"/>
    <mergeCell ref="X11:Y11"/>
    <mergeCell ref="AC8:AE8"/>
    <mergeCell ref="J9:P9"/>
    <mergeCell ref="Q9:AF9"/>
    <mergeCell ref="X7:Y7"/>
    <mergeCell ref="N8:U8"/>
    <mergeCell ref="W8:X8"/>
    <mergeCell ref="N7:U7"/>
    <mergeCell ref="J21:P21"/>
    <mergeCell ref="Q21:AF21"/>
    <mergeCell ref="W14:X14"/>
    <mergeCell ref="AC14:AE14"/>
    <mergeCell ref="J15:P15"/>
    <mergeCell ref="Q15:AF15"/>
    <mergeCell ref="X18:Z18"/>
    <mergeCell ref="AC18:AE18"/>
    <mergeCell ref="N19:U19"/>
    <mergeCell ref="X19:Y19"/>
    <mergeCell ref="N20:U20"/>
    <mergeCell ref="W20:X20"/>
    <mergeCell ref="AC20:AE20"/>
    <mergeCell ref="L18:T18"/>
    <mergeCell ref="X25:Y25"/>
    <mergeCell ref="N26:U26"/>
    <mergeCell ref="W26:X26"/>
    <mergeCell ref="AC26:AE26"/>
    <mergeCell ref="O22:AF22"/>
    <mergeCell ref="J27:P27"/>
    <mergeCell ref="Q27:AF27"/>
    <mergeCell ref="N25:U25"/>
    <mergeCell ref="O28:AF28"/>
    <mergeCell ref="L23:T23"/>
    <mergeCell ref="X23:Y23"/>
    <mergeCell ref="L24:T24"/>
    <mergeCell ref="X24:Z24"/>
    <mergeCell ref="AC24:AE24"/>
    <mergeCell ref="L42:T42"/>
    <mergeCell ref="X42:Z42"/>
    <mergeCell ref="AC42:AE42"/>
    <mergeCell ref="AH28:AH32"/>
    <mergeCell ref="L29:T29"/>
    <mergeCell ref="X29:Y29"/>
    <mergeCell ref="L30:T30"/>
    <mergeCell ref="X30:Z30"/>
    <mergeCell ref="AC30:AE30"/>
    <mergeCell ref="N31:U31"/>
    <mergeCell ref="X31:Y31"/>
    <mergeCell ref="N32:U32"/>
    <mergeCell ref="W32:X32"/>
    <mergeCell ref="AC32:AE32"/>
    <mergeCell ref="AH33:AH37"/>
    <mergeCell ref="O34:AF34"/>
    <mergeCell ref="L35:T35"/>
    <mergeCell ref="X35:Y35"/>
    <mergeCell ref="L36:T36"/>
    <mergeCell ref="X36:Z36"/>
    <mergeCell ref="AC36:AE36"/>
    <mergeCell ref="N37:U37"/>
    <mergeCell ref="J33:P33"/>
    <mergeCell ref="Q33:AF33"/>
    <mergeCell ref="L41:T41"/>
    <mergeCell ref="X41:Y41"/>
    <mergeCell ref="J39:P39"/>
    <mergeCell ref="Q39:AF39"/>
    <mergeCell ref="O40:AF40"/>
    <mergeCell ref="N38:U38"/>
    <mergeCell ref="W38:X38"/>
    <mergeCell ref="AC38:AE38"/>
    <mergeCell ref="X37:Y37"/>
    <mergeCell ref="X48:Z48"/>
    <mergeCell ref="AC48:AE48"/>
    <mergeCell ref="X49:Y49"/>
    <mergeCell ref="N50:U50"/>
    <mergeCell ref="J51:P51"/>
    <mergeCell ref="Q51:AF51"/>
    <mergeCell ref="N49:U49"/>
    <mergeCell ref="W50:X50"/>
    <mergeCell ref="N43:U43"/>
    <mergeCell ref="X43:Y43"/>
    <mergeCell ref="N44:U44"/>
    <mergeCell ref="W44:X44"/>
    <mergeCell ref="AC44:AE44"/>
    <mergeCell ref="J45:P45"/>
    <mergeCell ref="Q45:AF45"/>
    <mergeCell ref="AC50:AE50"/>
    <mergeCell ref="O58:AF58"/>
    <mergeCell ref="J63:P63"/>
    <mergeCell ref="Q63:AF63"/>
    <mergeCell ref="B4:F63"/>
    <mergeCell ref="G4:I33"/>
    <mergeCell ref="G34:I63"/>
    <mergeCell ref="X60:Z60"/>
    <mergeCell ref="AC60:AE60"/>
    <mergeCell ref="N61:U61"/>
    <mergeCell ref="X61:Y61"/>
    <mergeCell ref="N62:U62"/>
    <mergeCell ref="L60:T60"/>
    <mergeCell ref="O52:AF52"/>
    <mergeCell ref="L53:T53"/>
    <mergeCell ref="X53:Y53"/>
    <mergeCell ref="L59:T59"/>
    <mergeCell ref="X59:Y59"/>
    <mergeCell ref="N55:U55"/>
    <mergeCell ref="X55:Y55"/>
    <mergeCell ref="O46:AF46"/>
    <mergeCell ref="L47:T47"/>
    <mergeCell ref="X47:Y47"/>
    <mergeCell ref="L48:T48"/>
    <mergeCell ref="L54:T54"/>
    <mergeCell ref="X54:Z54"/>
    <mergeCell ref="AC54:AE54"/>
    <mergeCell ref="W62:X62"/>
    <mergeCell ref="AC62:AE62"/>
    <mergeCell ref="N56:U56"/>
    <mergeCell ref="W56:X56"/>
    <mergeCell ref="AC56:AE56"/>
    <mergeCell ref="J57:P57"/>
    <mergeCell ref="Q57:AF57"/>
  </mergeCells>
  <phoneticPr fontId="7"/>
  <pageMargins left="0.78740157480314965" right="0.39370078740157483" top="0.59055118110236227" bottom="0.59055118110236227" header="0.51181102362204722" footer="0.51181102362204722"/>
  <pageSetup paperSize="9" orientation="portrait" blackAndWhite="1" r:id="rId1"/>
  <headerFooter>
    <oddHeader>&amp;L&amp;9様式－ＩＰＥＣ－０８</oddHeader>
    <oddFooter xml:space="preserve">&amp;L&amp;6IPEC-08 建築主等変更届.xls&amp;R&amp;6ver1.2
</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A632-8652-4682-BD36-F19B8CEFF1C6}">
  <dimension ref="A1:AQ67"/>
  <sheetViews>
    <sheetView view="pageBreakPreview" zoomScaleNormal="100" zoomScaleSheetLayoutView="100" workbookViewId="0"/>
  </sheetViews>
  <sheetFormatPr defaultColWidth="2.625" defaultRowHeight="20.100000000000001" customHeight="1"/>
  <cols>
    <col min="1" max="10" width="2.625" style="617" customWidth="1"/>
    <col min="11" max="11" width="3.25" style="617" bestFit="1" customWidth="1"/>
    <col min="12" max="12" width="2.625" style="617" customWidth="1"/>
    <col min="13" max="16384" width="2.625" style="617"/>
  </cols>
  <sheetData>
    <row r="1" spans="1:33" ht="12.75">
      <c r="A1" s="654" t="s">
        <v>3190</v>
      </c>
      <c r="B1" s="654"/>
      <c r="C1" s="654"/>
    </row>
    <row r="2" spans="1:33" ht="14.25">
      <c r="A2" s="1056" t="s">
        <v>3191</v>
      </c>
      <c r="B2" s="1056"/>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c r="AA2" s="1056"/>
      <c r="AB2" s="1056"/>
      <c r="AC2" s="1056"/>
      <c r="AD2" s="1056"/>
      <c r="AE2" s="1056"/>
      <c r="AF2" s="1056"/>
      <c r="AG2" s="657" t="s">
        <v>3192</v>
      </c>
    </row>
    <row r="3" spans="1:33" ht="12.75">
      <c r="AG3" s="657" t="s">
        <v>3193</v>
      </c>
    </row>
    <row r="4" spans="1:33" ht="12.75">
      <c r="B4" s="654" t="s">
        <v>3194</v>
      </c>
      <c r="C4" s="654"/>
      <c r="E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row>
    <row r="7" spans="1:33" ht="17.25">
      <c r="B7" s="656" t="s">
        <v>3114</v>
      </c>
      <c r="C7" s="656"/>
      <c r="E7" s="655"/>
      <c r="F7" s="655"/>
      <c r="G7" s="655"/>
      <c r="H7" s="655"/>
      <c r="I7" s="655"/>
      <c r="M7" s="617" t="s">
        <v>3115</v>
      </c>
    </row>
    <row r="8" spans="1:33" ht="12.75">
      <c r="U8" s="668" t="str">
        <f ca="1">TEXT(TODAY(),"ggg")</f>
        <v>令和</v>
      </c>
      <c r="V8" s="668"/>
      <c r="W8" s="1057"/>
      <c r="X8" s="1057"/>
      <c r="Y8" s="668" t="s">
        <v>2822</v>
      </c>
      <c r="Z8" s="1057"/>
      <c r="AA8" s="1057"/>
      <c r="AB8" s="668" t="s">
        <v>2823</v>
      </c>
      <c r="AC8" s="1057"/>
      <c r="AD8" s="1057"/>
      <c r="AE8" s="668" t="s">
        <v>2824</v>
      </c>
    </row>
    <row r="10" spans="1:33" ht="12.75">
      <c r="N10" s="1052" t="s">
        <v>3116</v>
      </c>
      <c r="O10" s="1052"/>
      <c r="P10" s="1052"/>
      <c r="Q10" s="1052"/>
      <c r="R10" s="1052"/>
      <c r="S10" s="1052"/>
      <c r="T10" s="1052"/>
      <c r="U10" s="1052"/>
      <c r="V10" s="1052"/>
      <c r="W10" s="1052"/>
      <c r="X10" s="1052"/>
      <c r="Y10" s="1052"/>
      <c r="Z10" s="1052"/>
      <c r="AA10" s="1052"/>
      <c r="AB10" s="1052"/>
      <c r="AC10" s="1052"/>
      <c r="AD10" s="1052"/>
      <c r="AE10" s="1052"/>
    </row>
    <row r="11" spans="1:33" ht="12.75">
      <c r="N11" s="1051" t="str">
        <f>cst_wskakunin_owner1_NAME</f>
        <v>猫山　花子</v>
      </c>
      <c r="O11" s="1051"/>
      <c r="P11" s="1051"/>
      <c r="Q11" s="1051"/>
      <c r="R11" s="1051"/>
      <c r="S11" s="1051"/>
      <c r="T11" s="1051"/>
      <c r="U11" s="1051"/>
      <c r="V11" s="1051"/>
      <c r="W11" s="1051"/>
      <c r="X11" s="1051"/>
      <c r="Y11" s="1051"/>
      <c r="Z11" s="1051"/>
      <c r="AA11" s="1051"/>
      <c r="AB11" s="1051"/>
      <c r="AC11" s="1051"/>
      <c r="AD11" s="1051"/>
      <c r="AE11" s="1051"/>
    </row>
    <row r="12" spans="1:33" ht="12.75">
      <c r="N12" s="1051"/>
      <c r="O12" s="1051"/>
      <c r="P12" s="1051"/>
      <c r="Q12" s="1051"/>
      <c r="R12" s="1051"/>
      <c r="S12" s="1051"/>
      <c r="T12" s="1051"/>
      <c r="U12" s="1051"/>
      <c r="V12" s="1051"/>
      <c r="W12" s="1051"/>
      <c r="X12" s="1051"/>
      <c r="Y12" s="1051"/>
      <c r="Z12" s="1051"/>
      <c r="AA12" s="1051"/>
      <c r="AB12" s="1051"/>
      <c r="AC12" s="1051"/>
      <c r="AD12" s="1051"/>
      <c r="AE12" s="1051"/>
      <c r="AF12" s="654"/>
    </row>
    <row r="13" spans="1:33" ht="12.75">
      <c r="N13" s="1052" t="s">
        <v>3117</v>
      </c>
      <c r="O13" s="1052"/>
      <c r="P13" s="1052"/>
      <c r="Q13" s="1052"/>
      <c r="R13" s="1052"/>
      <c r="S13" s="1052"/>
      <c r="T13" s="1052"/>
      <c r="U13" s="1052"/>
      <c r="V13" s="1052"/>
      <c r="W13" s="1052"/>
      <c r="X13" s="1052"/>
      <c r="Y13" s="1052"/>
      <c r="Z13" s="1052"/>
      <c r="AA13" s="1052"/>
      <c r="AB13" s="1052"/>
      <c r="AC13" s="1052"/>
      <c r="AD13" s="1052"/>
      <c r="AE13" s="1052"/>
      <c r="AF13" s="654"/>
    </row>
    <row r="14" spans="1:33" ht="12.75">
      <c r="N14" s="1054" t="str">
        <f>cst_wskakunin_owner1__address</f>
        <v>大阪府茨木市山手台2-2-2</v>
      </c>
      <c r="O14" s="1054"/>
      <c r="P14" s="1054"/>
      <c r="Q14" s="1054"/>
      <c r="R14" s="1054"/>
      <c r="S14" s="1054"/>
      <c r="T14" s="1054"/>
      <c r="U14" s="1054"/>
      <c r="V14" s="1054"/>
      <c r="W14" s="1054"/>
      <c r="X14" s="1054"/>
      <c r="Y14" s="1054"/>
      <c r="Z14" s="1054"/>
      <c r="AA14" s="1054"/>
      <c r="AB14" s="1054"/>
      <c r="AC14" s="1054"/>
      <c r="AD14" s="1054"/>
      <c r="AE14" s="1054"/>
    </row>
    <row r="15" spans="1:33" ht="12.75">
      <c r="A15" s="653"/>
      <c r="B15" s="653"/>
      <c r="C15" s="653"/>
      <c r="D15" s="653"/>
      <c r="E15" s="653"/>
      <c r="F15" s="652"/>
      <c r="G15" s="652"/>
      <c r="H15" s="652"/>
      <c r="I15" s="652"/>
      <c r="J15" s="652"/>
      <c r="K15" s="652"/>
      <c r="L15" s="652"/>
      <c r="M15" s="652"/>
      <c r="N15" s="1055"/>
      <c r="O15" s="1055"/>
      <c r="P15" s="1055"/>
      <c r="Q15" s="1055"/>
      <c r="R15" s="1055"/>
      <c r="S15" s="1055"/>
      <c r="T15" s="1055"/>
      <c r="U15" s="1055"/>
      <c r="V15" s="1055"/>
      <c r="W15" s="1055"/>
      <c r="X15" s="1055"/>
      <c r="Y15" s="1055"/>
      <c r="Z15" s="1055"/>
      <c r="AA15" s="1055"/>
      <c r="AB15" s="1055"/>
      <c r="AC15" s="1055"/>
      <c r="AD15" s="1055"/>
      <c r="AE15" s="1055"/>
      <c r="AF15" s="652"/>
    </row>
    <row r="16" spans="1:33" ht="15" customHeight="1">
      <c r="F16" s="619"/>
      <c r="G16" s="619"/>
      <c r="H16" s="619"/>
      <c r="I16" s="619"/>
      <c r="J16" s="619"/>
      <c r="K16" s="619"/>
      <c r="L16" s="619"/>
      <c r="M16" s="619"/>
      <c r="N16" s="651"/>
      <c r="O16" s="651"/>
      <c r="P16" s="651"/>
      <c r="Q16" s="651"/>
      <c r="R16" s="651"/>
      <c r="S16" s="651"/>
      <c r="T16" s="651"/>
      <c r="U16" s="651"/>
      <c r="V16" s="651"/>
      <c r="W16" s="651"/>
      <c r="X16" s="651"/>
      <c r="Y16" s="651"/>
      <c r="Z16" s="651"/>
      <c r="AA16" s="651"/>
      <c r="AB16" s="651"/>
      <c r="AC16" s="651"/>
      <c r="AD16" s="651"/>
      <c r="AE16" s="651"/>
      <c r="AF16" s="619"/>
    </row>
    <row r="17" spans="1:43" ht="12.75">
      <c r="A17" s="1053" t="s">
        <v>3159</v>
      </c>
      <c r="B17" s="1053"/>
      <c r="C17" s="1053"/>
      <c r="D17" s="1053"/>
      <c r="E17" s="1053"/>
      <c r="F17" s="1053"/>
      <c r="G17" s="1053"/>
      <c r="H17" s="1053"/>
      <c r="I17" s="1053"/>
      <c r="J17" s="1053"/>
      <c r="K17" s="1053"/>
      <c r="L17" s="1053"/>
      <c r="M17" s="1053"/>
      <c r="N17" s="1053"/>
      <c r="O17" s="1053"/>
      <c r="P17" s="1053"/>
      <c r="Q17" s="1053"/>
      <c r="R17" s="1053"/>
      <c r="S17" s="1053"/>
      <c r="T17" s="1053"/>
      <c r="U17" s="1053"/>
      <c r="V17" s="1053"/>
      <c r="W17" s="1053"/>
      <c r="X17" s="1053"/>
      <c r="Y17" s="1053"/>
      <c r="Z17" s="1053"/>
      <c r="AA17" s="1053"/>
      <c r="AB17" s="1053"/>
      <c r="AC17" s="1053"/>
      <c r="AD17" s="1053"/>
      <c r="AE17" s="1053"/>
      <c r="AF17" s="1053"/>
    </row>
    <row r="18" spans="1:43" ht="1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row>
    <row r="19" spans="1:43" ht="12.75">
      <c r="A19" s="648"/>
      <c r="B19" s="648" t="s">
        <v>3160</v>
      </c>
      <c r="C19" s="648"/>
    </row>
    <row r="20" spans="1:43" ht="12.75">
      <c r="A20" s="648"/>
      <c r="B20" s="648"/>
      <c r="C20" s="648"/>
      <c r="D20" s="1051" t="str">
        <f>cst_wskakunin_BUILD__address</f>
        <v>大阪府茨木市山手台2-2-2</v>
      </c>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row>
    <row r="21" spans="1:43" ht="13.5">
      <c r="A21" s="648"/>
      <c r="B21" s="648" t="s">
        <v>3161</v>
      </c>
      <c r="C21" s="648"/>
      <c r="D21" s="650"/>
      <c r="E21" s="650"/>
      <c r="F21" s="650"/>
      <c r="G21" s="650"/>
      <c r="H21" s="650"/>
      <c r="I21" s="650"/>
      <c r="L21" s="677" t="str">
        <f ca="1">TEXT(TODAY(),"ggg")</f>
        <v>令和</v>
      </c>
      <c r="M21" s="677"/>
      <c r="N21" s="1044">
        <f ca="1">cst_shinsei_KAKUNIN_KOUFU_DATE</f>
        <v>45363</v>
      </c>
      <c r="O21" s="1044"/>
      <c r="P21" s="677" t="s">
        <v>2822</v>
      </c>
      <c r="Q21" s="1045">
        <f ca="1">cst_shinsei_KAKUNIN_KOUFU_DATE</f>
        <v>45363</v>
      </c>
      <c r="R21" s="1045"/>
      <c r="S21" s="677" t="s">
        <v>2823</v>
      </c>
      <c r="T21" s="1046">
        <f ca="1">cst_shinsei_KAKUNIN_KOUFU_DATE</f>
        <v>45363</v>
      </c>
      <c r="U21" s="1046"/>
      <c r="V21" s="677" t="s">
        <v>2824</v>
      </c>
      <c r="AQ21" s="617" t="s">
        <v>3195</v>
      </c>
    </row>
    <row r="22" spans="1:43" ht="12.75">
      <c r="A22" s="648"/>
      <c r="B22" s="648" t="s">
        <v>3162</v>
      </c>
      <c r="C22" s="648"/>
      <c r="D22" s="650"/>
      <c r="E22" s="650"/>
      <c r="F22" s="650"/>
      <c r="G22" s="650"/>
      <c r="H22" s="650"/>
      <c r="I22" s="1047" t="s">
        <v>3123</v>
      </c>
      <c r="J22" s="1047"/>
      <c r="K22" s="1048" t="str">
        <f ca="1">MID(cst_shinsei_KAKUNIN_ISSUE_NO,2,2)</f>
        <v>05</v>
      </c>
      <c r="L22" s="1048"/>
      <c r="M22" s="1049" t="str">
        <f ca="1">MID(cst_shinsei_KAKUNIN_ISSUE_NO,4,2)</f>
        <v>確認</v>
      </c>
      <c r="N22" s="1049"/>
      <c r="O22" s="1049" t="str">
        <f ca="1">MID(cst_shinsei_KAKUNIN_ISSUE_NO,6,6)</f>
        <v>建築IPEC</v>
      </c>
      <c r="P22" s="1049"/>
      <c r="Q22" s="1049"/>
      <c r="R22" s="1049"/>
      <c r="S22" s="1050" t="str">
        <f ca="1">RIGHT(cst_shinsei_KAKUNIN_ISSUE_NO,5)</f>
        <v>70003</v>
      </c>
      <c r="T22" s="1050"/>
      <c r="U22" s="1050"/>
      <c r="V22" s="676" t="s">
        <v>2762</v>
      </c>
      <c r="W22" s="649"/>
      <c r="X22" s="649"/>
      <c r="AI22" s="617" t="s">
        <v>3083</v>
      </c>
      <c r="AQ22" s="617" t="s">
        <v>2535</v>
      </c>
    </row>
    <row r="23" spans="1:43" ht="12.75">
      <c r="A23" s="648"/>
      <c r="B23" s="648"/>
      <c r="C23" s="648"/>
      <c r="K23" s="647"/>
      <c r="L23" s="647"/>
      <c r="M23" s="647"/>
      <c r="N23" s="647"/>
      <c r="O23" s="647"/>
      <c r="P23" s="647"/>
      <c r="Q23" s="647"/>
      <c r="AI23" s="617" t="s">
        <v>3084</v>
      </c>
      <c r="AQ23" s="617" t="s">
        <v>2539</v>
      </c>
    </row>
    <row r="24" spans="1:43" ht="12.75">
      <c r="A24" s="1009" t="s">
        <v>2828</v>
      </c>
      <c r="B24" s="1010"/>
      <c r="C24" s="1010"/>
      <c r="D24" s="1011"/>
      <c r="E24" s="1001" t="s">
        <v>3196</v>
      </c>
      <c r="F24" s="1002"/>
      <c r="G24" s="1002"/>
      <c r="H24" s="636" t="s">
        <v>3059</v>
      </c>
      <c r="I24" s="1004"/>
      <c r="J24" s="1004"/>
      <c r="K24" s="646" t="s">
        <v>3197</v>
      </c>
      <c r="L24" s="1004"/>
      <c r="M24" s="1004"/>
      <c r="N24" s="636"/>
      <c r="O24" s="636"/>
      <c r="P24" s="636"/>
      <c r="Q24" s="636"/>
      <c r="R24" s="636"/>
      <c r="S24" s="636"/>
      <c r="T24" s="636"/>
      <c r="U24" s="636"/>
      <c r="V24" s="636"/>
      <c r="W24" s="636"/>
      <c r="X24" s="636"/>
      <c r="Y24" s="636"/>
      <c r="Z24" s="636"/>
      <c r="AA24" s="636"/>
      <c r="AB24" s="636"/>
      <c r="AC24" s="636"/>
      <c r="AD24" s="636"/>
      <c r="AE24" s="636"/>
      <c r="AF24" s="645"/>
      <c r="AI24" s="617" t="s">
        <v>3086</v>
      </c>
      <c r="AQ24" s="617" t="s">
        <v>2543</v>
      </c>
    </row>
    <row r="25" spans="1:43" ht="12.75">
      <c r="A25" s="1012"/>
      <c r="B25" s="1013"/>
      <c r="C25" s="1013"/>
      <c r="D25" s="1014"/>
      <c r="E25" s="642"/>
      <c r="F25" s="640"/>
      <c r="G25" s="640"/>
      <c r="H25" s="1003"/>
      <c r="I25" s="1003"/>
      <c r="J25" s="1003"/>
      <c r="K25" s="1003"/>
      <c r="L25" s="1003"/>
      <c r="M25" s="1003"/>
      <c r="N25" s="1003"/>
      <c r="O25" s="1003"/>
      <c r="P25" s="1003"/>
      <c r="Q25" s="1003"/>
      <c r="R25" s="1003"/>
      <c r="S25" s="1003"/>
      <c r="T25" s="1003"/>
      <c r="U25" s="1003"/>
      <c r="V25" s="1003"/>
      <c r="W25" s="1003"/>
      <c r="X25" s="1003"/>
      <c r="Y25" s="1003"/>
      <c r="Z25" s="1003"/>
      <c r="AA25" s="1003"/>
      <c r="AB25" s="1003"/>
      <c r="AC25" s="1003"/>
      <c r="AD25" s="1003"/>
      <c r="AE25" s="1003"/>
      <c r="AF25" s="639"/>
      <c r="AI25" s="617" t="s">
        <v>3087</v>
      </c>
      <c r="AQ25" s="617" t="s">
        <v>2547</v>
      </c>
    </row>
    <row r="26" spans="1:43" ht="12.75">
      <c r="A26" s="1012"/>
      <c r="B26" s="1013"/>
      <c r="C26" s="1013"/>
      <c r="D26" s="1014"/>
      <c r="E26" s="1025" t="s">
        <v>3198</v>
      </c>
      <c r="F26" s="1026"/>
      <c r="G26" s="1026"/>
      <c r="H26" s="1026"/>
      <c r="I26" s="1026"/>
      <c r="J26" s="1026"/>
      <c r="K26" s="1026"/>
      <c r="L26" s="1026"/>
      <c r="M26" s="1026"/>
      <c r="N26" s="1026"/>
      <c r="O26" s="1026"/>
      <c r="P26" s="1026"/>
      <c r="Q26" s="1026"/>
      <c r="R26" s="1027"/>
      <c r="S26" s="1028" t="s">
        <v>396</v>
      </c>
      <c r="T26" s="1028"/>
      <c r="U26" s="1028"/>
      <c r="V26" s="1028"/>
      <c r="W26" s="1028"/>
      <c r="X26" s="1028"/>
      <c r="Y26" s="1028"/>
      <c r="Z26" s="1028"/>
      <c r="AA26" s="1028"/>
      <c r="AB26" s="1028"/>
      <c r="AC26" s="1028"/>
      <c r="AD26" s="1028"/>
      <c r="AE26" s="1028"/>
      <c r="AF26" s="1029"/>
      <c r="AI26" s="617" t="s">
        <v>3088</v>
      </c>
      <c r="AQ26" s="617" t="s">
        <v>2551</v>
      </c>
    </row>
    <row r="27" spans="1:43" ht="12.75">
      <c r="A27" s="1012"/>
      <c r="B27" s="1013"/>
      <c r="C27" s="1013"/>
      <c r="D27" s="1014"/>
      <c r="E27" s="1033"/>
      <c r="F27" s="1020"/>
      <c r="G27" s="1020"/>
      <c r="H27" s="1020"/>
      <c r="I27" s="1020"/>
      <c r="J27" s="1020"/>
      <c r="K27" s="1020"/>
      <c r="L27" s="1020"/>
      <c r="M27" s="1020"/>
      <c r="N27" s="1020"/>
      <c r="O27" s="1020"/>
      <c r="P27" s="1020"/>
      <c r="Q27" s="1020"/>
      <c r="R27" s="1034"/>
      <c r="S27" s="644" t="s">
        <v>2868</v>
      </c>
      <c r="T27" s="670"/>
      <c r="U27" s="640" t="s">
        <v>3199</v>
      </c>
      <c r="V27" s="640"/>
      <c r="W27" s="640"/>
      <c r="X27" s="640"/>
      <c r="Y27" s="640"/>
      <c r="Z27" s="640"/>
      <c r="AA27" s="640"/>
      <c r="AB27" s="1020"/>
      <c r="AC27" s="1020"/>
      <c r="AD27" s="1020"/>
      <c r="AE27" s="1020"/>
      <c r="AF27" s="639" t="s">
        <v>2762</v>
      </c>
      <c r="AI27" s="617" t="s">
        <v>3091</v>
      </c>
      <c r="AQ27" s="617" t="s">
        <v>2555</v>
      </c>
    </row>
    <row r="28" spans="1:43" ht="12.75">
      <c r="A28" s="1012"/>
      <c r="B28" s="1013"/>
      <c r="C28" s="1013"/>
      <c r="D28" s="1014"/>
      <c r="E28" s="1035" t="s">
        <v>3174</v>
      </c>
      <c r="F28" s="1036"/>
      <c r="G28" s="1036"/>
      <c r="H28" s="1036"/>
      <c r="I28" s="1036"/>
      <c r="J28" s="1036"/>
      <c r="K28" s="1036"/>
      <c r="L28" s="1036"/>
      <c r="M28" s="1036"/>
      <c r="N28" s="1036"/>
      <c r="O28" s="1036"/>
      <c r="P28" s="1036"/>
      <c r="Q28" s="1036"/>
      <c r="R28" s="1037"/>
      <c r="S28" s="1038" t="s">
        <v>3200</v>
      </c>
      <c r="T28" s="1028"/>
      <c r="U28" s="1028"/>
      <c r="V28" s="1028"/>
      <c r="W28" s="1028"/>
      <c r="X28" s="1028"/>
      <c r="Y28" s="1028"/>
      <c r="Z28" s="1028"/>
      <c r="AA28" s="1028"/>
      <c r="AB28" s="1028"/>
      <c r="AC28" s="1028"/>
      <c r="AD28" s="1028"/>
      <c r="AE28" s="1028"/>
      <c r="AF28" s="1029"/>
      <c r="AQ28" s="617" t="s">
        <v>2559</v>
      </c>
    </row>
    <row r="29" spans="1:43" ht="12.75">
      <c r="A29" s="1012"/>
      <c r="B29" s="1013"/>
      <c r="C29" s="1013"/>
      <c r="D29" s="1014"/>
      <c r="E29" s="1022"/>
      <c r="F29" s="1023"/>
      <c r="G29" s="1023"/>
      <c r="H29" s="1023"/>
      <c r="I29" s="1023"/>
      <c r="J29" s="1023"/>
      <c r="K29" s="1023"/>
      <c r="L29" s="1023"/>
      <c r="M29" s="1023"/>
      <c r="N29" s="1023"/>
      <c r="O29" s="1023"/>
      <c r="P29" s="1023"/>
      <c r="Q29" s="1023"/>
      <c r="R29" s="1024"/>
      <c r="S29" s="643" t="s">
        <v>2868</v>
      </c>
      <c r="T29" s="669"/>
      <c r="U29" s="618" t="s">
        <v>3176</v>
      </c>
      <c r="V29" s="618"/>
      <c r="W29" s="618"/>
      <c r="X29" s="618"/>
      <c r="Y29" s="618"/>
      <c r="Z29" s="618"/>
      <c r="AA29" s="618"/>
      <c r="AB29" s="618"/>
      <c r="AC29" s="618"/>
      <c r="AD29" s="618"/>
      <c r="AE29" s="618"/>
      <c r="AF29" s="624"/>
      <c r="AQ29" s="617" t="s">
        <v>2510</v>
      </c>
    </row>
    <row r="30" spans="1:43" ht="12.75">
      <c r="A30" s="1012"/>
      <c r="B30" s="1013"/>
      <c r="C30" s="1013"/>
      <c r="D30" s="1014"/>
      <c r="E30" s="642" t="s">
        <v>3045</v>
      </c>
      <c r="F30" s="640"/>
      <c r="G30" s="1003" t="s">
        <v>3201</v>
      </c>
      <c r="H30" s="1003"/>
      <c r="I30" s="1003"/>
      <c r="J30" s="1003"/>
      <c r="K30" s="1003"/>
      <c r="L30" s="1003"/>
      <c r="M30" s="1003"/>
      <c r="N30" s="1003"/>
      <c r="O30" s="1003"/>
      <c r="P30" s="1003"/>
      <c r="Q30" s="1003"/>
      <c r="R30" s="1005"/>
      <c r="S30" s="641" t="s">
        <v>2868</v>
      </c>
      <c r="T30" s="1020"/>
      <c r="U30" s="1020"/>
      <c r="V30" s="1020"/>
      <c r="W30" s="640" t="s">
        <v>3202</v>
      </c>
      <c r="X30" s="640"/>
      <c r="Y30" s="640"/>
      <c r="Z30" s="640"/>
      <c r="AA30" s="640"/>
      <c r="AB30" s="1020"/>
      <c r="AC30" s="1020"/>
      <c r="AD30" s="1020"/>
      <c r="AE30" s="1020"/>
      <c r="AF30" s="639" t="s">
        <v>2762</v>
      </c>
      <c r="AQ30" s="617" t="s">
        <v>2521</v>
      </c>
    </row>
    <row r="31" spans="1:43" ht="12.75">
      <c r="A31" s="1015"/>
      <c r="B31" s="1016"/>
      <c r="C31" s="1016"/>
      <c r="D31" s="1017"/>
      <c r="E31" s="632" t="s">
        <v>3203</v>
      </c>
      <c r="F31" s="618"/>
      <c r="G31" s="638"/>
      <c r="H31" s="638"/>
      <c r="I31" s="638"/>
      <c r="J31" s="638"/>
      <c r="K31" s="638"/>
      <c r="L31" s="1018"/>
      <c r="M31" s="1018"/>
      <c r="N31" s="1018"/>
      <c r="O31" s="1018"/>
      <c r="P31" s="1018"/>
      <c r="Q31" s="1018"/>
      <c r="R31" s="1018"/>
      <c r="S31" s="1018"/>
      <c r="T31" s="1018"/>
      <c r="U31" s="1018"/>
      <c r="V31" s="1018"/>
      <c r="W31" s="1018"/>
      <c r="X31" s="1018"/>
      <c r="Y31" s="1018"/>
      <c r="Z31" s="1018"/>
      <c r="AA31" s="1018"/>
      <c r="AB31" s="1018"/>
      <c r="AC31" s="1018"/>
      <c r="AD31" s="1018"/>
      <c r="AE31" s="1018"/>
      <c r="AF31" s="1019"/>
      <c r="AQ31" s="617" t="s">
        <v>2529</v>
      </c>
    </row>
    <row r="32" spans="1:43" ht="12.75">
      <c r="A32" s="989" t="s">
        <v>2992</v>
      </c>
      <c r="B32" s="990"/>
      <c r="C32" s="990"/>
      <c r="D32" s="991"/>
      <c r="E32" s="637" t="s">
        <v>3140</v>
      </c>
      <c r="F32" s="636"/>
      <c r="G32" s="636"/>
      <c r="H32" s="634"/>
      <c r="I32" s="634"/>
      <c r="J32" s="634"/>
      <c r="K32" s="635"/>
      <c r="L32" s="635"/>
      <c r="M32" s="635"/>
      <c r="N32" s="635"/>
      <c r="O32" s="635"/>
      <c r="P32" s="635"/>
      <c r="Q32" s="635"/>
      <c r="R32" s="634"/>
      <c r="S32" s="634"/>
      <c r="T32" s="634"/>
      <c r="U32" s="634"/>
      <c r="V32" s="634"/>
      <c r="W32" s="634"/>
      <c r="X32" s="634"/>
      <c r="Y32" s="634"/>
      <c r="Z32" s="634"/>
      <c r="AA32" s="634"/>
      <c r="AB32" s="634"/>
      <c r="AC32" s="634"/>
      <c r="AD32" s="634"/>
      <c r="AE32" s="634"/>
      <c r="AF32" s="633"/>
      <c r="AQ32" s="617" t="s">
        <v>2466</v>
      </c>
    </row>
    <row r="33" spans="1:43" ht="12.75">
      <c r="A33" s="1030"/>
      <c r="B33" s="1031"/>
      <c r="C33" s="1031"/>
      <c r="D33" s="1032"/>
      <c r="E33" s="632" t="s">
        <v>3059</v>
      </c>
      <c r="F33" s="1020" t="s">
        <v>3204</v>
      </c>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c r="AD33" s="1020"/>
      <c r="AE33" s="1020"/>
      <c r="AF33" s="1021"/>
      <c r="AQ33" s="617" t="s">
        <v>2487</v>
      </c>
    </row>
    <row r="34" spans="1:43" ht="12.75">
      <c r="A34" s="1030"/>
      <c r="B34" s="1031"/>
      <c r="C34" s="1031"/>
      <c r="D34" s="1032"/>
      <c r="E34" s="631" t="s">
        <v>3141</v>
      </c>
      <c r="F34" s="627"/>
      <c r="G34" s="627"/>
      <c r="H34" s="630"/>
      <c r="I34" s="630"/>
      <c r="J34" s="630"/>
      <c r="K34" s="629"/>
      <c r="L34" s="629"/>
      <c r="M34" s="629"/>
      <c r="N34" s="629"/>
      <c r="O34" s="629"/>
      <c r="P34" s="629"/>
      <c r="Q34" s="629"/>
      <c r="R34" s="628"/>
      <c r="S34" s="627" t="s">
        <v>3045</v>
      </c>
      <c r="T34" s="627"/>
      <c r="U34" s="1040" t="s">
        <v>3201</v>
      </c>
      <c r="V34" s="1040"/>
      <c r="W34" s="1040"/>
      <c r="X34" s="1040"/>
      <c r="Y34" s="1040"/>
      <c r="Z34" s="1040"/>
      <c r="AA34" s="1040"/>
      <c r="AB34" s="1040"/>
      <c r="AC34" s="1040"/>
      <c r="AD34" s="1040"/>
      <c r="AE34" s="1040"/>
      <c r="AF34" s="1041"/>
      <c r="AQ34" s="617" t="s">
        <v>2475</v>
      </c>
    </row>
    <row r="35" spans="1:43" ht="13.5">
      <c r="A35" s="1030"/>
      <c r="B35" s="1031"/>
      <c r="C35" s="1031"/>
      <c r="D35" s="1032"/>
      <c r="E35" s="1022"/>
      <c r="F35" s="1023"/>
      <c r="G35" s="1023"/>
      <c r="H35" s="1023"/>
      <c r="I35" s="1023"/>
      <c r="J35" s="1023"/>
      <c r="K35" s="1023"/>
      <c r="L35" s="1023"/>
      <c r="M35" s="1023"/>
      <c r="N35" s="1023"/>
      <c r="O35" s="1023"/>
      <c r="P35" s="1023"/>
      <c r="Q35" s="1023"/>
      <c r="R35" s="1024"/>
      <c r="S35" s="626" t="s">
        <v>1474</v>
      </c>
      <c r="T35" s="618"/>
      <c r="U35" s="618"/>
      <c r="V35" s="618"/>
      <c r="W35" s="618"/>
      <c r="X35" s="618"/>
      <c r="Y35" s="625" t="s">
        <v>2868</v>
      </c>
      <c r="Z35" s="1043"/>
      <c r="AA35" s="1043"/>
      <c r="AB35" s="1043"/>
      <c r="AC35" s="1043"/>
      <c r="AD35" s="1043"/>
      <c r="AE35" s="618" t="s">
        <v>2869</v>
      </c>
      <c r="AF35" s="624"/>
      <c r="AJ35" s="617" t="s">
        <v>2745</v>
      </c>
      <c r="AQ35" s="617" t="s">
        <v>2499</v>
      </c>
    </row>
    <row r="36" spans="1:43" ht="12.75">
      <c r="A36" s="992"/>
      <c r="B36" s="993"/>
      <c r="C36" s="993"/>
      <c r="D36" s="994"/>
      <c r="E36" s="1006"/>
      <c r="F36" s="1007"/>
      <c r="G36" s="1007"/>
      <c r="H36" s="1007"/>
      <c r="I36" s="1007"/>
      <c r="J36" s="1007"/>
      <c r="K36" s="1007"/>
      <c r="L36" s="1007"/>
      <c r="M36" s="1007"/>
      <c r="N36" s="1007"/>
      <c r="O36" s="1007"/>
      <c r="P36" s="1007"/>
      <c r="Q36" s="1007"/>
      <c r="R36" s="1008"/>
      <c r="S36" s="623"/>
      <c r="T36" s="622"/>
      <c r="U36" s="622"/>
      <c r="V36" s="622"/>
      <c r="W36" s="622" t="s">
        <v>2831</v>
      </c>
      <c r="X36" s="1042"/>
      <c r="Y36" s="1042"/>
      <c r="Z36" s="671"/>
      <c r="AA36" s="622"/>
      <c r="AB36" s="1039"/>
      <c r="AC36" s="1039"/>
      <c r="AD36" s="1039"/>
      <c r="AE36" s="1039"/>
      <c r="AF36" s="621" t="s">
        <v>2762</v>
      </c>
      <c r="AJ36" s="617" t="s">
        <v>2753</v>
      </c>
      <c r="AQ36" s="617" t="s">
        <v>2563</v>
      </c>
    </row>
    <row r="37" spans="1:43" ht="12.75">
      <c r="A37" s="989" t="s">
        <v>3205</v>
      </c>
      <c r="B37" s="990"/>
      <c r="C37" s="990"/>
      <c r="D37" s="991"/>
      <c r="E37" s="995"/>
      <c r="F37" s="996"/>
      <c r="G37" s="996"/>
      <c r="H37" s="996"/>
      <c r="I37" s="996"/>
      <c r="J37" s="996"/>
      <c r="K37" s="996"/>
      <c r="L37" s="996"/>
      <c r="M37" s="996"/>
      <c r="N37" s="996"/>
      <c r="O37" s="996"/>
      <c r="P37" s="996"/>
      <c r="Q37" s="996"/>
      <c r="R37" s="996"/>
      <c r="S37" s="996"/>
      <c r="T37" s="996"/>
      <c r="U37" s="996"/>
      <c r="V37" s="996"/>
      <c r="W37" s="996"/>
      <c r="X37" s="996"/>
      <c r="Y37" s="996"/>
      <c r="Z37" s="996"/>
      <c r="AA37" s="996"/>
      <c r="AB37" s="996"/>
      <c r="AC37" s="996"/>
      <c r="AD37" s="996"/>
      <c r="AE37" s="996"/>
      <c r="AF37" s="997"/>
      <c r="AQ37" s="617" t="s">
        <v>2567</v>
      </c>
    </row>
    <row r="38" spans="1:43" ht="12.75">
      <c r="A38" s="992"/>
      <c r="B38" s="993"/>
      <c r="C38" s="993"/>
      <c r="D38" s="994"/>
      <c r="E38" s="998"/>
      <c r="F38" s="999"/>
      <c r="G38" s="999"/>
      <c r="H38" s="999"/>
      <c r="I38" s="999"/>
      <c r="J38" s="999"/>
      <c r="K38" s="999"/>
      <c r="L38" s="999"/>
      <c r="M38" s="999"/>
      <c r="N38" s="999"/>
      <c r="O38" s="999"/>
      <c r="P38" s="999"/>
      <c r="Q38" s="999"/>
      <c r="R38" s="999"/>
      <c r="S38" s="999"/>
      <c r="T38" s="999"/>
      <c r="U38" s="999"/>
      <c r="V38" s="999"/>
      <c r="W38" s="999"/>
      <c r="X38" s="999"/>
      <c r="Y38" s="999"/>
      <c r="Z38" s="999"/>
      <c r="AA38" s="999"/>
      <c r="AB38" s="999"/>
      <c r="AC38" s="999"/>
      <c r="AD38" s="999"/>
      <c r="AE38" s="999"/>
      <c r="AF38" s="1000"/>
      <c r="AQ38" s="617" t="s">
        <v>2571</v>
      </c>
    </row>
    <row r="39" spans="1:43" ht="12.75">
      <c r="A39" s="618" t="s">
        <v>3104</v>
      </c>
      <c r="B39" s="618"/>
      <c r="C39" s="618" t="s">
        <v>3206</v>
      </c>
      <c r="V39" s="620"/>
      <c r="W39" s="620"/>
      <c r="X39" s="620"/>
      <c r="Y39" s="620"/>
      <c r="Z39" s="620"/>
      <c r="AQ39" s="617" t="s">
        <v>2575</v>
      </c>
    </row>
    <row r="40" spans="1:43" ht="12.75">
      <c r="C40" s="618" t="s">
        <v>3207</v>
      </c>
      <c r="H40" s="619"/>
      <c r="AQ40" s="617" t="s">
        <v>2579</v>
      </c>
    </row>
    <row r="41" spans="1:43" ht="12.75">
      <c r="C41" s="618" t="s">
        <v>3208</v>
      </c>
      <c r="AQ41" s="617" t="s">
        <v>2583</v>
      </c>
    </row>
    <row r="42" spans="1:43" ht="12.75">
      <c r="AQ42" s="617" t="s">
        <v>2591</v>
      </c>
    </row>
    <row r="43" spans="1:43" ht="12.75">
      <c r="AQ43" s="617" t="s">
        <v>2595</v>
      </c>
    </row>
    <row r="44" spans="1:43" ht="12.75">
      <c r="AQ44" s="617" t="s">
        <v>2599</v>
      </c>
    </row>
    <row r="45" spans="1:43" ht="12.75">
      <c r="AQ45" s="617" t="s">
        <v>2603</v>
      </c>
    </row>
    <row r="46" spans="1:43" ht="12.75">
      <c r="AQ46" s="617" t="s">
        <v>1476</v>
      </c>
    </row>
    <row r="47" spans="1:43" ht="12.75">
      <c r="AQ47" s="617" t="s">
        <v>2610</v>
      </c>
    </row>
    <row r="48" spans="1:43" ht="12.75">
      <c r="AQ48" s="617" t="s">
        <v>2614</v>
      </c>
    </row>
    <row r="49" spans="43:43" ht="12.75">
      <c r="AQ49" s="617" t="s">
        <v>2618</v>
      </c>
    </row>
    <row r="50" spans="43:43" ht="12.75">
      <c r="AQ50" s="617" t="s">
        <v>2622</v>
      </c>
    </row>
    <row r="51" spans="43:43" ht="12.75">
      <c r="AQ51" s="617" t="s">
        <v>2626</v>
      </c>
    </row>
    <row r="52" spans="43:43" ht="12.75">
      <c r="AQ52" s="617" t="s">
        <v>2630</v>
      </c>
    </row>
    <row r="53" spans="43:43" ht="12.75">
      <c r="AQ53" s="617" t="s">
        <v>2634</v>
      </c>
    </row>
    <row r="54" spans="43:43" ht="12.75">
      <c r="AQ54" s="617" t="s">
        <v>2638</v>
      </c>
    </row>
    <row r="55" spans="43:43" ht="12.75">
      <c r="AQ55" s="617" t="s">
        <v>2642</v>
      </c>
    </row>
    <row r="56" spans="43:43" ht="12.75">
      <c r="AQ56" s="617" t="s">
        <v>2646</v>
      </c>
    </row>
    <row r="57" spans="43:43" ht="12.75">
      <c r="AQ57" s="617" t="s">
        <v>2650</v>
      </c>
    </row>
    <row r="58" spans="43:43" ht="12.75">
      <c r="AQ58" s="617" t="s">
        <v>2654</v>
      </c>
    </row>
    <row r="59" spans="43:43" ht="12.75">
      <c r="AQ59" s="617" t="s">
        <v>2658</v>
      </c>
    </row>
    <row r="60" spans="43:43" ht="12.75">
      <c r="AQ60" s="617" t="s">
        <v>2662</v>
      </c>
    </row>
    <row r="61" spans="43:43" ht="12.75">
      <c r="AQ61" s="617" t="s">
        <v>2666</v>
      </c>
    </row>
    <row r="62" spans="43:43" ht="12.75">
      <c r="AQ62" s="617" t="s">
        <v>2670</v>
      </c>
    </row>
    <row r="63" spans="43:43" ht="12.75">
      <c r="AQ63" s="617" t="s">
        <v>2674</v>
      </c>
    </row>
    <row r="64" spans="43:43" ht="12.75">
      <c r="AQ64" s="617" t="s">
        <v>2677</v>
      </c>
    </row>
    <row r="65" spans="43:43" ht="12.75">
      <c r="AQ65" s="617" t="s">
        <v>2680</v>
      </c>
    </row>
    <row r="66" spans="43:43" ht="12.75">
      <c r="AQ66" s="617" t="s">
        <v>2683</v>
      </c>
    </row>
    <row r="67" spans="43:43" ht="12.75">
      <c r="AQ67" s="617" t="s">
        <v>2686</v>
      </c>
    </row>
  </sheetData>
  <mergeCells count="46">
    <mergeCell ref="A2:AF2"/>
    <mergeCell ref="W8:X8"/>
    <mergeCell ref="Z8:AA8"/>
    <mergeCell ref="AC8:AD8"/>
    <mergeCell ref="N10:AE10"/>
    <mergeCell ref="N11:AE12"/>
    <mergeCell ref="N13:AE13"/>
    <mergeCell ref="A17:AF17"/>
    <mergeCell ref="D20:AE20"/>
    <mergeCell ref="N14:AE15"/>
    <mergeCell ref="N21:O21"/>
    <mergeCell ref="Q21:R21"/>
    <mergeCell ref="T21:U21"/>
    <mergeCell ref="I22:J22"/>
    <mergeCell ref="K22:L22"/>
    <mergeCell ref="M22:N22"/>
    <mergeCell ref="O22:R22"/>
    <mergeCell ref="S22:U22"/>
    <mergeCell ref="A32:D36"/>
    <mergeCell ref="F33:J33"/>
    <mergeCell ref="E27:R27"/>
    <mergeCell ref="E28:R28"/>
    <mergeCell ref="S28:AF28"/>
    <mergeCell ref="E29:R29"/>
    <mergeCell ref="AB27:AE27"/>
    <mergeCell ref="T30:V30"/>
    <mergeCell ref="AB36:AE36"/>
    <mergeCell ref="U34:AF34"/>
    <mergeCell ref="X36:Y36"/>
    <mergeCell ref="Z35:AD35"/>
    <mergeCell ref="A37:D38"/>
    <mergeCell ref="E37:AF37"/>
    <mergeCell ref="E38:AF38"/>
    <mergeCell ref="E24:G24"/>
    <mergeCell ref="H25:AE25"/>
    <mergeCell ref="I24:J24"/>
    <mergeCell ref="L24:M24"/>
    <mergeCell ref="G30:R30"/>
    <mergeCell ref="E36:R36"/>
    <mergeCell ref="A24:D31"/>
    <mergeCell ref="L31:AF31"/>
    <mergeCell ref="K33:AF33"/>
    <mergeCell ref="E35:R35"/>
    <mergeCell ref="E26:R26"/>
    <mergeCell ref="S26:AF26"/>
    <mergeCell ref="AB30:AE30"/>
  </mergeCells>
  <phoneticPr fontId="7"/>
  <dataValidations count="8">
    <dataValidation type="list" allowBlank="1" showInputMessage="1" showErrorMessage="1" sqref="Z35" xr:uid="{1D88A03C-69C3-4AA3-81D7-1694A54AC3EF}">
      <formula1>$AQ$21:$AQ$67</formula1>
    </dataValidation>
    <dataValidation type="list" allowBlank="1" showInputMessage="1" showErrorMessage="1" sqref="X36:Y36" xr:uid="{904235AF-24F4-47A2-A88D-0AF7FA9000BB}">
      <formula1>"般-,特-"</formula1>
    </dataValidation>
    <dataValidation imeMode="hiragana" allowBlank="1" showInputMessage="1" showErrorMessage="1" sqref="WWC983062:WWF983062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58:X65558 JQ65558:JT65558 TM65558:TP65558 ADI65558:ADL65558 ANE65558:ANH65558 AXA65558:AXD65558 BGW65558:BGZ65558 BQS65558:BQV65558 CAO65558:CAR65558 CKK65558:CKN65558 CUG65558:CUJ65558 DEC65558:DEF65558 DNY65558:DOB65558 DXU65558:DXX65558 EHQ65558:EHT65558 ERM65558:ERP65558 FBI65558:FBL65558 FLE65558:FLH65558 FVA65558:FVD65558 GEW65558:GEZ65558 GOS65558:GOV65558 GYO65558:GYR65558 HIK65558:HIN65558 HSG65558:HSJ65558 ICC65558:ICF65558 ILY65558:IMB65558 IVU65558:IVX65558 JFQ65558:JFT65558 JPM65558:JPP65558 JZI65558:JZL65558 KJE65558:KJH65558 KTA65558:KTD65558 LCW65558:LCZ65558 LMS65558:LMV65558 LWO65558:LWR65558 MGK65558:MGN65558 MQG65558:MQJ65558 NAC65558:NAF65558 NJY65558:NKB65558 NTU65558:NTX65558 ODQ65558:ODT65558 ONM65558:ONP65558 OXI65558:OXL65558 PHE65558:PHH65558 PRA65558:PRD65558 QAW65558:QAZ65558 QKS65558:QKV65558 QUO65558:QUR65558 REK65558:REN65558 ROG65558:ROJ65558 RYC65558:RYF65558 SHY65558:SIB65558 SRU65558:SRX65558 TBQ65558:TBT65558 TLM65558:TLP65558 TVI65558:TVL65558 UFE65558:UFH65558 UPA65558:UPD65558 UYW65558:UYZ65558 VIS65558:VIV65558 VSO65558:VSR65558 WCK65558:WCN65558 WMG65558:WMJ65558 WWC65558:WWF65558 U131094:X131094 JQ131094:JT131094 TM131094:TP131094 ADI131094:ADL131094 ANE131094:ANH131094 AXA131094:AXD131094 BGW131094:BGZ131094 BQS131094:BQV131094 CAO131094:CAR131094 CKK131094:CKN131094 CUG131094:CUJ131094 DEC131094:DEF131094 DNY131094:DOB131094 DXU131094:DXX131094 EHQ131094:EHT131094 ERM131094:ERP131094 FBI131094:FBL131094 FLE131094:FLH131094 FVA131094:FVD131094 GEW131094:GEZ131094 GOS131094:GOV131094 GYO131094:GYR131094 HIK131094:HIN131094 HSG131094:HSJ131094 ICC131094:ICF131094 ILY131094:IMB131094 IVU131094:IVX131094 JFQ131094:JFT131094 JPM131094:JPP131094 JZI131094:JZL131094 KJE131094:KJH131094 KTA131094:KTD131094 LCW131094:LCZ131094 LMS131094:LMV131094 LWO131094:LWR131094 MGK131094:MGN131094 MQG131094:MQJ131094 NAC131094:NAF131094 NJY131094:NKB131094 NTU131094:NTX131094 ODQ131094:ODT131094 ONM131094:ONP131094 OXI131094:OXL131094 PHE131094:PHH131094 PRA131094:PRD131094 QAW131094:QAZ131094 QKS131094:QKV131094 QUO131094:QUR131094 REK131094:REN131094 ROG131094:ROJ131094 RYC131094:RYF131094 SHY131094:SIB131094 SRU131094:SRX131094 TBQ131094:TBT131094 TLM131094:TLP131094 TVI131094:TVL131094 UFE131094:UFH131094 UPA131094:UPD131094 UYW131094:UYZ131094 VIS131094:VIV131094 VSO131094:VSR131094 WCK131094:WCN131094 WMG131094:WMJ131094 WWC131094:WWF131094 U196630:X196630 JQ196630:JT196630 TM196630:TP196630 ADI196630:ADL196630 ANE196630:ANH196630 AXA196630:AXD196630 BGW196630:BGZ196630 BQS196630:BQV196630 CAO196630:CAR196630 CKK196630:CKN196630 CUG196630:CUJ196630 DEC196630:DEF196630 DNY196630:DOB196630 DXU196630:DXX196630 EHQ196630:EHT196630 ERM196630:ERP196630 FBI196630:FBL196630 FLE196630:FLH196630 FVA196630:FVD196630 GEW196630:GEZ196630 GOS196630:GOV196630 GYO196630:GYR196630 HIK196630:HIN196630 HSG196630:HSJ196630 ICC196630:ICF196630 ILY196630:IMB196630 IVU196630:IVX196630 JFQ196630:JFT196630 JPM196630:JPP196630 JZI196630:JZL196630 KJE196630:KJH196630 KTA196630:KTD196630 LCW196630:LCZ196630 LMS196630:LMV196630 LWO196630:LWR196630 MGK196630:MGN196630 MQG196630:MQJ196630 NAC196630:NAF196630 NJY196630:NKB196630 NTU196630:NTX196630 ODQ196630:ODT196630 ONM196630:ONP196630 OXI196630:OXL196630 PHE196630:PHH196630 PRA196630:PRD196630 QAW196630:QAZ196630 QKS196630:QKV196630 QUO196630:QUR196630 REK196630:REN196630 ROG196630:ROJ196630 RYC196630:RYF196630 SHY196630:SIB196630 SRU196630:SRX196630 TBQ196630:TBT196630 TLM196630:TLP196630 TVI196630:TVL196630 UFE196630:UFH196630 UPA196630:UPD196630 UYW196630:UYZ196630 VIS196630:VIV196630 VSO196630:VSR196630 WCK196630:WCN196630 WMG196630:WMJ196630 WWC196630:WWF196630 U262166:X262166 JQ262166:JT262166 TM262166:TP262166 ADI262166:ADL262166 ANE262166:ANH262166 AXA262166:AXD262166 BGW262166:BGZ262166 BQS262166:BQV262166 CAO262166:CAR262166 CKK262166:CKN262166 CUG262166:CUJ262166 DEC262166:DEF262166 DNY262166:DOB262166 DXU262166:DXX262166 EHQ262166:EHT262166 ERM262166:ERP262166 FBI262166:FBL262166 FLE262166:FLH262166 FVA262166:FVD262166 GEW262166:GEZ262166 GOS262166:GOV262166 GYO262166:GYR262166 HIK262166:HIN262166 HSG262166:HSJ262166 ICC262166:ICF262166 ILY262166:IMB262166 IVU262166:IVX262166 JFQ262166:JFT262166 JPM262166:JPP262166 JZI262166:JZL262166 KJE262166:KJH262166 KTA262166:KTD262166 LCW262166:LCZ262166 LMS262166:LMV262166 LWO262166:LWR262166 MGK262166:MGN262166 MQG262166:MQJ262166 NAC262166:NAF262166 NJY262166:NKB262166 NTU262166:NTX262166 ODQ262166:ODT262166 ONM262166:ONP262166 OXI262166:OXL262166 PHE262166:PHH262166 PRA262166:PRD262166 QAW262166:QAZ262166 QKS262166:QKV262166 QUO262166:QUR262166 REK262166:REN262166 ROG262166:ROJ262166 RYC262166:RYF262166 SHY262166:SIB262166 SRU262166:SRX262166 TBQ262166:TBT262166 TLM262166:TLP262166 TVI262166:TVL262166 UFE262166:UFH262166 UPA262166:UPD262166 UYW262166:UYZ262166 VIS262166:VIV262166 VSO262166:VSR262166 WCK262166:WCN262166 WMG262166:WMJ262166 WWC262166:WWF262166 U327702:X327702 JQ327702:JT327702 TM327702:TP327702 ADI327702:ADL327702 ANE327702:ANH327702 AXA327702:AXD327702 BGW327702:BGZ327702 BQS327702:BQV327702 CAO327702:CAR327702 CKK327702:CKN327702 CUG327702:CUJ327702 DEC327702:DEF327702 DNY327702:DOB327702 DXU327702:DXX327702 EHQ327702:EHT327702 ERM327702:ERP327702 FBI327702:FBL327702 FLE327702:FLH327702 FVA327702:FVD327702 GEW327702:GEZ327702 GOS327702:GOV327702 GYO327702:GYR327702 HIK327702:HIN327702 HSG327702:HSJ327702 ICC327702:ICF327702 ILY327702:IMB327702 IVU327702:IVX327702 JFQ327702:JFT327702 JPM327702:JPP327702 JZI327702:JZL327702 KJE327702:KJH327702 KTA327702:KTD327702 LCW327702:LCZ327702 LMS327702:LMV327702 LWO327702:LWR327702 MGK327702:MGN327702 MQG327702:MQJ327702 NAC327702:NAF327702 NJY327702:NKB327702 NTU327702:NTX327702 ODQ327702:ODT327702 ONM327702:ONP327702 OXI327702:OXL327702 PHE327702:PHH327702 PRA327702:PRD327702 QAW327702:QAZ327702 QKS327702:QKV327702 QUO327702:QUR327702 REK327702:REN327702 ROG327702:ROJ327702 RYC327702:RYF327702 SHY327702:SIB327702 SRU327702:SRX327702 TBQ327702:TBT327702 TLM327702:TLP327702 TVI327702:TVL327702 UFE327702:UFH327702 UPA327702:UPD327702 UYW327702:UYZ327702 VIS327702:VIV327702 VSO327702:VSR327702 WCK327702:WCN327702 WMG327702:WMJ327702 WWC327702:WWF327702 U393238:X393238 JQ393238:JT393238 TM393238:TP393238 ADI393238:ADL393238 ANE393238:ANH393238 AXA393238:AXD393238 BGW393238:BGZ393238 BQS393238:BQV393238 CAO393238:CAR393238 CKK393238:CKN393238 CUG393238:CUJ393238 DEC393238:DEF393238 DNY393238:DOB393238 DXU393238:DXX393238 EHQ393238:EHT393238 ERM393238:ERP393238 FBI393238:FBL393238 FLE393238:FLH393238 FVA393238:FVD393238 GEW393238:GEZ393238 GOS393238:GOV393238 GYO393238:GYR393238 HIK393238:HIN393238 HSG393238:HSJ393238 ICC393238:ICF393238 ILY393238:IMB393238 IVU393238:IVX393238 JFQ393238:JFT393238 JPM393238:JPP393238 JZI393238:JZL393238 KJE393238:KJH393238 KTA393238:KTD393238 LCW393238:LCZ393238 LMS393238:LMV393238 LWO393238:LWR393238 MGK393238:MGN393238 MQG393238:MQJ393238 NAC393238:NAF393238 NJY393238:NKB393238 NTU393238:NTX393238 ODQ393238:ODT393238 ONM393238:ONP393238 OXI393238:OXL393238 PHE393238:PHH393238 PRA393238:PRD393238 QAW393238:QAZ393238 QKS393238:QKV393238 QUO393238:QUR393238 REK393238:REN393238 ROG393238:ROJ393238 RYC393238:RYF393238 SHY393238:SIB393238 SRU393238:SRX393238 TBQ393238:TBT393238 TLM393238:TLP393238 TVI393238:TVL393238 UFE393238:UFH393238 UPA393238:UPD393238 UYW393238:UYZ393238 VIS393238:VIV393238 VSO393238:VSR393238 WCK393238:WCN393238 WMG393238:WMJ393238 WWC393238:WWF393238 U458774:X458774 JQ458774:JT458774 TM458774:TP458774 ADI458774:ADL458774 ANE458774:ANH458774 AXA458774:AXD458774 BGW458774:BGZ458774 BQS458774:BQV458774 CAO458774:CAR458774 CKK458774:CKN458774 CUG458774:CUJ458774 DEC458774:DEF458774 DNY458774:DOB458774 DXU458774:DXX458774 EHQ458774:EHT458774 ERM458774:ERP458774 FBI458774:FBL458774 FLE458774:FLH458774 FVA458774:FVD458774 GEW458774:GEZ458774 GOS458774:GOV458774 GYO458774:GYR458774 HIK458774:HIN458774 HSG458774:HSJ458774 ICC458774:ICF458774 ILY458774:IMB458774 IVU458774:IVX458774 JFQ458774:JFT458774 JPM458774:JPP458774 JZI458774:JZL458774 KJE458774:KJH458774 KTA458774:KTD458774 LCW458774:LCZ458774 LMS458774:LMV458774 LWO458774:LWR458774 MGK458774:MGN458774 MQG458774:MQJ458774 NAC458774:NAF458774 NJY458774:NKB458774 NTU458774:NTX458774 ODQ458774:ODT458774 ONM458774:ONP458774 OXI458774:OXL458774 PHE458774:PHH458774 PRA458774:PRD458774 QAW458774:QAZ458774 QKS458774:QKV458774 QUO458774:QUR458774 REK458774:REN458774 ROG458774:ROJ458774 RYC458774:RYF458774 SHY458774:SIB458774 SRU458774:SRX458774 TBQ458774:TBT458774 TLM458774:TLP458774 TVI458774:TVL458774 UFE458774:UFH458774 UPA458774:UPD458774 UYW458774:UYZ458774 VIS458774:VIV458774 VSO458774:VSR458774 WCK458774:WCN458774 WMG458774:WMJ458774 WWC458774:WWF458774 U524310:X524310 JQ524310:JT524310 TM524310:TP524310 ADI524310:ADL524310 ANE524310:ANH524310 AXA524310:AXD524310 BGW524310:BGZ524310 BQS524310:BQV524310 CAO524310:CAR524310 CKK524310:CKN524310 CUG524310:CUJ524310 DEC524310:DEF524310 DNY524310:DOB524310 DXU524310:DXX524310 EHQ524310:EHT524310 ERM524310:ERP524310 FBI524310:FBL524310 FLE524310:FLH524310 FVA524310:FVD524310 GEW524310:GEZ524310 GOS524310:GOV524310 GYO524310:GYR524310 HIK524310:HIN524310 HSG524310:HSJ524310 ICC524310:ICF524310 ILY524310:IMB524310 IVU524310:IVX524310 JFQ524310:JFT524310 JPM524310:JPP524310 JZI524310:JZL524310 KJE524310:KJH524310 KTA524310:KTD524310 LCW524310:LCZ524310 LMS524310:LMV524310 LWO524310:LWR524310 MGK524310:MGN524310 MQG524310:MQJ524310 NAC524310:NAF524310 NJY524310:NKB524310 NTU524310:NTX524310 ODQ524310:ODT524310 ONM524310:ONP524310 OXI524310:OXL524310 PHE524310:PHH524310 PRA524310:PRD524310 QAW524310:QAZ524310 QKS524310:QKV524310 QUO524310:QUR524310 REK524310:REN524310 ROG524310:ROJ524310 RYC524310:RYF524310 SHY524310:SIB524310 SRU524310:SRX524310 TBQ524310:TBT524310 TLM524310:TLP524310 TVI524310:TVL524310 UFE524310:UFH524310 UPA524310:UPD524310 UYW524310:UYZ524310 VIS524310:VIV524310 VSO524310:VSR524310 WCK524310:WCN524310 WMG524310:WMJ524310 WWC524310:WWF524310 U589846:X589846 JQ589846:JT589846 TM589846:TP589846 ADI589846:ADL589846 ANE589846:ANH589846 AXA589846:AXD589846 BGW589846:BGZ589846 BQS589846:BQV589846 CAO589846:CAR589846 CKK589846:CKN589846 CUG589846:CUJ589846 DEC589846:DEF589846 DNY589846:DOB589846 DXU589846:DXX589846 EHQ589846:EHT589846 ERM589846:ERP589846 FBI589846:FBL589846 FLE589846:FLH589846 FVA589846:FVD589846 GEW589846:GEZ589846 GOS589846:GOV589846 GYO589846:GYR589846 HIK589846:HIN589846 HSG589846:HSJ589846 ICC589846:ICF589846 ILY589846:IMB589846 IVU589846:IVX589846 JFQ589846:JFT589846 JPM589846:JPP589846 JZI589846:JZL589846 KJE589846:KJH589846 KTA589846:KTD589846 LCW589846:LCZ589846 LMS589846:LMV589846 LWO589846:LWR589846 MGK589846:MGN589846 MQG589846:MQJ589846 NAC589846:NAF589846 NJY589846:NKB589846 NTU589846:NTX589846 ODQ589846:ODT589846 ONM589846:ONP589846 OXI589846:OXL589846 PHE589846:PHH589846 PRA589846:PRD589846 QAW589846:QAZ589846 QKS589846:QKV589846 QUO589846:QUR589846 REK589846:REN589846 ROG589846:ROJ589846 RYC589846:RYF589846 SHY589846:SIB589846 SRU589846:SRX589846 TBQ589846:TBT589846 TLM589846:TLP589846 TVI589846:TVL589846 UFE589846:UFH589846 UPA589846:UPD589846 UYW589846:UYZ589846 VIS589846:VIV589846 VSO589846:VSR589846 WCK589846:WCN589846 WMG589846:WMJ589846 WWC589846:WWF589846 U655382:X655382 JQ655382:JT655382 TM655382:TP655382 ADI655382:ADL655382 ANE655382:ANH655382 AXA655382:AXD655382 BGW655382:BGZ655382 BQS655382:BQV655382 CAO655382:CAR655382 CKK655382:CKN655382 CUG655382:CUJ655382 DEC655382:DEF655382 DNY655382:DOB655382 DXU655382:DXX655382 EHQ655382:EHT655382 ERM655382:ERP655382 FBI655382:FBL655382 FLE655382:FLH655382 FVA655382:FVD655382 GEW655382:GEZ655382 GOS655382:GOV655382 GYO655382:GYR655382 HIK655382:HIN655382 HSG655382:HSJ655382 ICC655382:ICF655382 ILY655382:IMB655382 IVU655382:IVX655382 JFQ655382:JFT655382 JPM655382:JPP655382 JZI655382:JZL655382 KJE655382:KJH655382 KTA655382:KTD655382 LCW655382:LCZ655382 LMS655382:LMV655382 LWO655382:LWR655382 MGK655382:MGN655382 MQG655382:MQJ655382 NAC655382:NAF655382 NJY655382:NKB655382 NTU655382:NTX655382 ODQ655382:ODT655382 ONM655382:ONP655382 OXI655382:OXL655382 PHE655382:PHH655382 PRA655382:PRD655382 QAW655382:QAZ655382 QKS655382:QKV655382 QUO655382:QUR655382 REK655382:REN655382 ROG655382:ROJ655382 RYC655382:RYF655382 SHY655382:SIB655382 SRU655382:SRX655382 TBQ655382:TBT655382 TLM655382:TLP655382 TVI655382:TVL655382 UFE655382:UFH655382 UPA655382:UPD655382 UYW655382:UYZ655382 VIS655382:VIV655382 VSO655382:VSR655382 WCK655382:WCN655382 WMG655382:WMJ655382 WWC655382:WWF655382 U720918:X720918 JQ720918:JT720918 TM720918:TP720918 ADI720918:ADL720918 ANE720918:ANH720918 AXA720918:AXD720918 BGW720918:BGZ720918 BQS720918:BQV720918 CAO720918:CAR720918 CKK720918:CKN720918 CUG720918:CUJ720918 DEC720918:DEF720918 DNY720918:DOB720918 DXU720918:DXX720918 EHQ720918:EHT720918 ERM720918:ERP720918 FBI720918:FBL720918 FLE720918:FLH720918 FVA720918:FVD720918 GEW720918:GEZ720918 GOS720918:GOV720918 GYO720918:GYR720918 HIK720918:HIN720918 HSG720918:HSJ720918 ICC720918:ICF720918 ILY720918:IMB720918 IVU720918:IVX720918 JFQ720918:JFT720918 JPM720918:JPP720918 JZI720918:JZL720918 KJE720918:KJH720918 KTA720918:KTD720918 LCW720918:LCZ720918 LMS720918:LMV720918 LWO720918:LWR720918 MGK720918:MGN720918 MQG720918:MQJ720918 NAC720918:NAF720918 NJY720918:NKB720918 NTU720918:NTX720918 ODQ720918:ODT720918 ONM720918:ONP720918 OXI720918:OXL720918 PHE720918:PHH720918 PRA720918:PRD720918 QAW720918:QAZ720918 QKS720918:QKV720918 QUO720918:QUR720918 REK720918:REN720918 ROG720918:ROJ720918 RYC720918:RYF720918 SHY720918:SIB720918 SRU720918:SRX720918 TBQ720918:TBT720918 TLM720918:TLP720918 TVI720918:TVL720918 UFE720918:UFH720918 UPA720918:UPD720918 UYW720918:UYZ720918 VIS720918:VIV720918 VSO720918:VSR720918 WCK720918:WCN720918 WMG720918:WMJ720918 WWC720918:WWF720918 U786454:X786454 JQ786454:JT786454 TM786454:TP786454 ADI786454:ADL786454 ANE786454:ANH786454 AXA786454:AXD786454 BGW786454:BGZ786454 BQS786454:BQV786454 CAO786454:CAR786454 CKK786454:CKN786454 CUG786454:CUJ786454 DEC786454:DEF786454 DNY786454:DOB786454 DXU786454:DXX786454 EHQ786454:EHT786454 ERM786454:ERP786454 FBI786454:FBL786454 FLE786454:FLH786454 FVA786454:FVD786454 GEW786454:GEZ786454 GOS786454:GOV786454 GYO786454:GYR786454 HIK786454:HIN786454 HSG786454:HSJ786454 ICC786454:ICF786454 ILY786454:IMB786454 IVU786454:IVX786454 JFQ786454:JFT786454 JPM786454:JPP786454 JZI786454:JZL786454 KJE786454:KJH786454 KTA786454:KTD786454 LCW786454:LCZ786454 LMS786454:LMV786454 LWO786454:LWR786454 MGK786454:MGN786454 MQG786454:MQJ786454 NAC786454:NAF786454 NJY786454:NKB786454 NTU786454:NTX786454 ODQ786454:ODT786454 ONM786454:ONP786454 OXI786454:OXL786454 PHE786454:PHH786454 PRA786454:PRD786454 QAW786454:QAZ786454 QKS786454:QKV786454 QUO786454:QUR786454 REK786454:REN786454 ROG786454:ROJ786454 RYC786454:RYF786454 SHY786454:SIB786454 SRU786454:SRX786454 TBQ786454:TBT786454 TLM786454:TLP786454 TVI786454:TVL786454 UFE786454:UFH786454 UPA786454:UPD786454 UYW786454:UYZ786454 VIS786454:VIV786454 VSO786454:VSR786454 WCK786454:WCN786454 WMG786454:WMJ786454 WWC786454:WWF786454 U851990:X851990 JQ851990:JT851990 TM851990:TP851990 ADI851990:ADL851990 ANE851990:ANH851990 AXA851990:AXD851990 BGW851990:BGZ851990 BQS851990:BQV851990 CAO851990:CAR851990 CKK851990:CKN851990 CUG851990:CUJ851990 DEC851990:DEF851990 DNY851990:DOB851990 DXU851990:DXX851990 EHQ851990:EHT851990 ERM851990:ERP851990 FBI851990:FBL851990 FLE851990:FLH851990 FVA851990:FVD851990 GEW851990:GEZ851990 GOS851990:GOV851990 GYO851990:GYR851990 HIK851990:HIN851990 HSG851990:HSJ851990 ICC851990:ICF851990 ILY851990:IMB851990 IVU851990:IVX851990 JFQ851990:JFT851990 JPM851990:JPP851990 JZI851990:JZL851990 KJE851990:KJH851990 KTA851990:KTD851990 LCW851990:LCZ851990 LMS851990:LMV851990 LWO851990:LWR851990 MGK851990:MGN851990 MQG851990:MQJ851990 NAC851990:NAF851990 NJY851990:NKB851990 NTU851990:NTX851990 ODQ851990:ODT851990 ONM851990:ONP851990 OXI851990:OXL851990 PHE851990:PHH851990 PRA851990:PRD851990 QAW851990:QAZ851990 QKS851990:QKV851990 QUO851990:QUR851990 REK851990:REN851990 ROG851990:ROJ851990 RYC851990:RYF851990 SHY851990:SIB851990 SRU851990:SRX851990 TBQ851990:TBT851990 TLM851990:TLP851990 TVI851990:TVL851990 UFE851990:UFH851990 UPA851990:UPD851990 UYW851990:UYZ851990 VIS851990:VIV851990 VSO851990:VSR851990 WCK851990:WCN851990 WMG851990:WMJ851990 WWC851990:WWF851990 U917526:X917526 JQ917526:JT917526 TM917526:TP917526 ADI917526:ADL917526 ANE917526:ANH917526 AXA917526:AXD917526 BGW917526:BGZ917526 BQS917526:BQV917526 CAO917526:CAR917526 CKK917526:CKN917526 CUG917526:CUJ917526 DEC917526:DEF917526 DNY917526:DOB917526 DXU917526:DXX917526 EHQ917526:EHT917526 ERM917526:ERP917526 FBI917526:FBL917526 FLE917526:FLH917526 FVA917526:FVD917526 GEW917526:GEZ917526 GOS917526:GOV917526 GYO917526:GYR917526 HIK917526:HIN917526 HSG917526:HSJ917526 ICC917526:ICF917526 ILY917526:IMB917526 IVU917526:IVX917526 JFQ917526:JFT917526 JPM917526:JPP917526 JZI917526:JZL917526 KJE917526:KJH917526 KTA917526:KTD917526 LCW917526:LCZ917526 LMS917526:LMV917526 LWO917526:LWR917526 MGK917526:MGN917526 MQG917526:MQJ917526 NAC917526:NAF917526 NJY917526:NKB917526 NTU917526:NTX917526 ODQ917526:ODT917526 ONM917526:ONP917526 OXI917526:OXL917526 PHE917526:PHH917526 PRA917526:PRD917526 QAW917526:QAZ917526 QKS917526:QKV917526 QUO917526:QUR917526 REK917526:REN917526 ROG917526:ROJ917526 RYC917526:RYF917526 SHY917526:SIB917526 SRU917526:SRX917526 TBQ917526:TBT917526 TLM917526:TLP917526 TVI917526:TVL917526 UFE917526:UFH917526 UPA917526:UPD917526 UYW917526:UYZ917526 VIS917526:VIV917526 VSO917526:VSR917526 WCK917526:WCN917526 WMG917526:WMJ917526 WWC917526:WWF917526 U983062:X983062 JQ983062:JT983062 TM983062:TP983062 ADI983062:ADL983062 ANE983062:ANH983062 AXA983062:AXD983062 BGW983062:BGZ983062 BQS983062:BQV983062 CAO983062:CAR983062 CKK983062:CKN983062 CUG983062:CUJ983062 DEC983062:DEF983062 DNY983062:DOB983062 DXU983062:DXX983062 EHQ983062:EHT983062 ERM983062:ERP983062 FBI983062:FBL983062 FLE983062:FLH983062 FVA983062:FVD983062 GEW983062:GEZ983062 GOS983062:GOV983062 GYO983062:GYR983062 HIK983062:HIN983062 HSG983062:HSJ983062 ICC983062:ICF983062 ILY983062:IMB983062 IVU983062:IVX983062 JFQ983062:JFT983062 JPM983062:JPP983062 JZI983062:JZL983062 KJE983062:KJH983062 KTA983062:KTD983062 LCW983062:LCZ983062 LMS983062:LMV983062 LWO983062:LWR983062 MGK983062:MGN983062 MQG983062:MQJ983062 NAC983062:NAF983062 NJY983062:NKB983062 NTU983062:NTX983062 ODQ983062:ODT983062 ONM983062:ONP983062 OXI983062:OXL983062 PHE983062:PHH983062 PRA983062:PRD983062 QAW983062:QAZ983062 QKS983062:QKV983062 QUO983062:QUR983062 REK983062:REN983062 ROG983062:ROJ983062 RYC983062:RYF983062 SHY983062:SIB983062 SRU983062:SRX983062 TBQ983062:TBT983062 TLM983062:TLP983062 TVI983062:TVL983062 UFE983062:UFH983062 UPA983062:UPD983062 UYW983062:UYZ983062 VIS983062:VIV983062 VSO983062:VSR983062 WCK983062:WCN983062 WMG983062:WMJ983062 W22:X22" xr:uid="{7F92F8A3-7B0C-4649-A64C-48DF4648EF6B}"/>
    <dataValidation imeMode="fullAlpha" allowBlank="1" showInputMessage="1" showErrorMessage="1" sqref="F32:F34 JB32:JB34 SX32:SX34 ACT32:ACT34 AMP32:AMP34 AWL32:AWL34 BGH32:BGH34 BQD32:BQD34 BZZ32:BZZ34 CJV32:CJV34 CTR32:CTR34 DDN32:DDN34 DNJ32:DNJ34 DXF32:DXF34 EHB32:EHB34 EQX32:EQX34 FAT32:FAT34 FKP32:FKP34 FUL32:FUL34 GEH32:GEH34 GOD32:GOD34 GXZ32:GXZ34 HHV32:HHV34 HRR32:HRR34 IBN32:IBN34 ILJ32:ILJ34 IVF32:IVF34 JFB32:JFB34 JOX32:JOX34 JYT32:JYT34 KIP32:KIP34 KSL32:KSL34 LCH32:LCH34 LMD32:LMD34 LVZ32:LVZ34 MFV32:MFV34 MPR32:MPR34 MZN32:MZN34 NJJ32:NJJ34 NTF32:NTF34 ODB32:ODB34 OMX32:OMX34 OWT32:OWT34 PGP32:PGP34 PQL32:PQL34 QAH32:QAH34 QKD32:QKD34 QTZ32:QTZ34 RDV32:RDV34 RNR32:RNR34 RXN32:RXN34 SHJ32:SHJ34 SRF32:SRF34 TBB32:TBB34 TKX32:TKX34 TUT32:TUT34 UEP32:UEP34 UOL32:UOL34 UYH32:UYH34 VID32:VID34 VRZ32:VRZ34 WBV32:WBV34 WLR32:WLR34 WVN32:WVN34 F65568:F65570 JB65568:JB65570 SX65568:SX65570 ACT65568:ACT65570 AMP65568:AMP65570 AWL65568:AWL65570 BGH65568:BGH65570 BQD65568:BQD65570 BZZ65568:BZZ65570 CJV65568:CJV65570 CTR65568:CTR65570 DDN65568:DDN65570 DNJ65568:DNJ65570 DXF65568:DXF65570 EHB65568:EHB65570 EQX65568:EQX65570 FAT65568:FAT65570 FKP65568:FKP65570 FUL65568:FUL65570 GEH65568:GEH65570 GOD65568:GOD65570 GXZ65568:GXZ65570 HHV65568:HHV65570 HRR65568:HRR65570 IBN65568:IBN65570 ILJ65568:ILJ65570 IVF65568:IVF65570 JFB65568:JFB65570 JOX65568:JOX65570 JYT65568:JYT65570 KIP65568:KIP65570 KSL65568:KSL65570 LCH65568:LCH65570 LMD65568:LMD65570 LVZ65568:LVZ65570 MFV65568:MFV65570 MPR65568:MPR65570 MZN65568:MZN65570 NJJ65568:NJJ65570 NTF65568:NTF65570 ODB65568:ODB65570 OMX65568:OMX65570 OWT65568:OWT65570 PGP65568:PGP65570 PQL65568:PQL65570 QAH65568:QAH65570 QKD65568:QKD65570 QTZ65568:QTZ65570 RDV65568:RDV65570 RNR65568:RNR65570 RXN65568:RXN65570 SHJ65568:SHJ65570 SRF65568:SRF65570 TBB65568:TBB65570 TKX65568:TKX65570 TUT65568:TUT65570 UEP65568:UEP65570 UOL65568:UOL65570 UYH65568:UYH65570 VID65568:VID65570 VRZ65568:VRZ65570 WBV65568:WBV65570 WLR65568:WLR65570 WVN65568:WVN65570 F131104:F131106 JB131104:JB131106 SX131104:SX131106 ACT131104:ACT131106 AMP131104:AMP131106 AWL131104:AWL131106 BGH131104:BGH131106 BQD131104:BQD131106 BZZ131104:BZZ131106 CJV131104:CJV131106 CTR131104:CTR131106 DDN131104:DDN131106 DNJ131104:DNJ131106 DXF131104:DXF131106 EHB131104:EHB131106 EQX131104:EQX131106 FAT131104:FAT131106 FKP131104:FKP131106 FUL131104:FUL131106 GEH131104:GEH131106 GOD131104:GOD131106 GXZ131104:GXZ131106 HHV131104:HHV131106 HRR131104:HRR131106 IBN131104:IBN131106 ILJ131104:ILJ131106 IVF131104:IVF131106 JFB131104:JFB131106 JOX131104:JOX131106 JYT131104:JYT131106 KIP131104:KIP131106 KSL131104:KSL131106 LCH131104:LCH131106 LMD131104:LMD131106 LVZ131104:LVZ131106 MFV131104:MFV131106 MPR131104:MPR131106 MZN131104:MZN131106 NJJ131104:NJJ131106 NTF131104:NTF131106 ODB131104:ODB131106 OMX131104:OMX131106 OWT131104:OWT131106 PGP131104:PGP131106 PQL131104:PQL131106 QAH131104:QAH131106 QKD131104:QKD131106 QTZ131104:QTZ131106 RDV131104:RDV131106 RNR131104:RNR131106 RXN131104:RXN131106 SHJ131104:SHJ131106 SRF131104:SRF131106 TBB131104:TBB131106 TKX131104:TKX131106 TUT131104:TUT131106 UEP131104:UEP131106 UOL131104:UOL131106 UYH131104:UYH131106 VID131104:VID131106 VRZ131104:VRZ131106 WBV131104:WBV131106 WLR131104:WLR131106 WVN131104:WVN131106 F196640:F196642 JB196640:JB196642 SX196640:SX196642 ACT196640:ACT196642 AMP196640:AMP196642 AWL196640:AWL196642 BGH196640:BGH196642 BQD196640:BQD196642 BZZ196640:BZZ196642 CJV196640:CJV196642 CTR196640:CTR196642 DDN196640:DDN196642 DNJ196640:DNJ196642 DXF196640:DXF196642 EHB196640:EHB196642 EQX196640:EQX196642 FAT196640:FAT196642 FKP196640:FKP196642 FUL196640:FUL196642 GEH196640:GEH196642 GOD196640:GOD196642 GXZ196640:GXZ196642 HHV196640:HHV196642 HRR196640:HRR196642 IBN196640:IBN196642 ILJ196640:ILJ196642 IVF196640:IVF196642 JFB196640:JFB196642 JOX196640:JOX196642 JYT196640:JYT196642 KIP196640:KIP196642 KSL196640:KSL196642 LCH196640:LCH196642 LMD196640:LMD196642 LVZ196640:LVZ196642 MFV196640:MFV196642 MPR196640:MPR196642 MZN196640:MZN196642 NJJ196640:NJJ196642 NTF196640:NTF196642 ODB196640:ODB196642 OMX196640:OMX196642 OWT196640:OWT196642 PGP196640:PGP196642 PQL196640:PQL196642 QAH196640:QAH196642 QKD196640:QKD196642 QTZ196640:QTZ196642 RDV196640:RDV196642 RNR196640:RNR196642 RXN196640:RXN196642 SHJ196640:SHJ196642 SRF196640:SRF196642 TBB196640:TBB196642 TKX196640:TKX196642 TUT196640:TUT196642 UEP196640:UEP196642 UOL196640:UOL196642 UYH196640:UYH196642 VID196640:VID196642 VRZ196640:VRZ196642 WBV196640:WBV196642 WLR196640:WLR196642 WVN196640:WVN196642 F262176:F262178 JB262176:JB262178 SX262176:SX262178 ACT262176:ACT262178 AMP262176:AMP262178 AWL262176:AWL262178 BGH262176:BGH262178 BQD262176:BQD262178 BZZ262176:BZZ262178 CJV262176:CJV262178 CTR262176:CTR262178 DDN262176:DDN262178 DNJ262176:DNJ262178 DXF262176:DXF262178 EHB262176:EHB262178 EQX262176:EQX262178 FAT262176:FAT262178 FKP262176:FKP262178 FUL262176:FUL262178 GEH262176:GEH262178 GOD262176:GOD262178 GXZ262176:GXZ262178 HHV262176:HHV262178 HRR262176:HRR262178 IBN262176:IBN262178 ILJ262176:ILJ262178 IVF262176:IVF262178 JFB262176:JFB262178 JOX262176:JOX262178 JYT262176:JYT262178 KIP262176:KIP262178 KSL262176:KSL262178 LCH262176:LCH262178 LMD262176:LMD262178 LVZ262176:LVZ262178 MFV262176:MFV262178 MPR262176:MPR262178 MZN262176:MZN262178 NJJ262176:NJJ262178 NTF262176:NTF262178 ODB262176:ODB262178 OMX262176:OMX262178 OWT262176:OWT262178 PGP262176:PGP262178 PQL262176:PQL262178 QAH262176:QAH262178 QKD262176:QKD262178 QTZ262176:QTZ262178 RDV262176:RDV262178 RNR262176:RNR262178 RXN262176:RXN262178 SHJ262176:SHJ262178 SRF262176:SRF262178 TBB262176:TBB262178 TKX262176:TKX262178 TUT262176:TUT262178 UEP262176:UEP262178 UOL262176:UOL262178 UYH262176:UYH262178 VID262176:VID262178 VRZ262176:VRZ262178 WBV262176:WBV262178 WLR262176:WLR262178 WVN262176:WVN262178 F327712:F327714 JB327712:JB327714 SX327712:SX327714 ACT327712:ACT327714 AMP327712:AMP327714 AWL327712:AWL327714 BGH327712:BGH327714 BQD327712:BQD327714 BZZ327712:BZZ327714 CJV327712:CJV327714 CTR327712:CTR327714 DDN327712:DDN327714 DNJ327712:DNJ327714 DXF327712:DXF327714 EHB327712:EHB327714 EQX327712:EQX327714 FAT327712:FAT327714 FKP327712:FKP327714 FUL327712:FUL327714 GEH327712:GEH327714 GOD327712:GOD327714 GXZ327712:GXZ327714 HHV327712:HHV327714 HRR327712:HRR327714 IBN327712:IBN327714 ILJ327712:ILJ327714 IVF327712:IVF327714 JFB327712:JFB327714 JOX327712:JOX327714 JYT327712:JYT327714 KIP327712:KIP327714 KSL327712:KSL327714 LCH327712:LCH327714 LMD327712:LMD327714 LVZ327712:LVZ327714 MFV327712:MFV327714 MPR327712:MPR327714 MZN327712:MZN327714 NJJ327712:NJJ327714 NTF327712:NTF327714 ODB327712:ODB327714 OMX327712:OMX327714 OWT327712:OWT327714 PGP327712:PGP327714 PQL327712:PQL327714 QAH327712:QAH327714 QKD327712:QKD327714 QTZ327712:QTZ327714 RDV327712:RDV327714 RNR327712:RNR327714 RXN327712:RXN327714 SHJ327712:SHJ327714 SRF327712:SRF327714 TBB327712:TBB327714 TKX327712:TKX327714 TUT327712:TUT327714 UEP327712:UEP327714 UOL327712:UOL327714 UYH327712:UYH327714 VID327712:VID327714 VRZ327712:VRZ327714 WBV327712:WBV327714 WLR327712:WLR327714 WVN327712:WVN327714 F393248:F393250 JB393248:JB393250 SX393248:SX393250 ACT393248:ACT393250 AMP393248:AMP393250 AWL393248:AWL393250 BGH393248:BGH393250 BQD393248:BQD393250 BZZ393248:BZZ393250 CJV393248:CJV393250 CTR393248:CTR393250 DDN393248:DDN393250 DNJ393248:DNJ393250 DXF393248:DXF393250 EHB393248:EHB393250 EQX393248:EQX393250 FAT393248:FAT393250 FKP393248:FKP393250 FUL393248:FUL393250 GEH393248:GEH393250 GOD393248:GOD393250 GXZ393248:GXZ393250 HHV393248:HHV393250 HRR393248:HRR393250 IBN393248:IBN393250 ILJ393248:ILJ393250 IVF393248:IVF393250 JFB393248:JFB393250 JOX393248:JOX393250 JYT393248:JYT393250 KIP393248:KIP393250 KSL393248:KSL393250 LCH393248:LCH393250 LMD393248:LMD393250 LVZ393248:LVZ393250 MFV393248:MFV393250 MPR393248:MPR393250 MZN393248:MZN393250 NJJ393248:NJJ393250 NTF393248:NTF393250 ODB393248:ODB393250 OMX393248:OMX393250 OWT393248:OWT393250 PGP393248:PGP393250 PQL393248:PQL393250 QAH393248:QAH393250 QKD393248:QKD393250 QTZ393248:QTZ393250 RDV393248:RDV393250 RNR393248:RNR393250 RXN393248:RXN393250 SHJ393248:SHJ393250 SRF393248:SRF393250 TBB393248:TBB393250 TKX393248:TKX393250 TUT393248:TUT393250 UEP393248:UEP393250 UOL393248:UOL393250 UYH393248:UYH393250 VID393248:VID393250 VRZ393248:VRZ393250 WBV393248:WBV393250 WLR393248:WLR393250 WVN393248:WVN393250 F458784:F458786 JB458784:JB458786 SX458784:SX458786 ACT458784:ACT458786 AMP458784:AMP458786 AWL458784:AWL458786 BGH458784:BGH458786 BQD458784:BQD458786 BZZ458784:BZZ458786 CJV458784:CJV458786 CTR458784:CTR458786 DDN458784:DDN458786 DNJ458784:DNJ458786 DXF458784:DXF458786 EHB458784:EHB458786 EQX458784:EQX458786 FAT458784:FAT458786 FKP458784:FKP458786 FUL458784:FUL458786 GEH458784:GEH458786 GOD458784:GOD458786 GXZ458784:GXZ458786 HHV458784:HHV458786 HRR458784:HRR458786 IBN458784:IBN458786 ILJ458784:ILJ458786 IVF458784:IVF458786 JFB458784:JFB458786 JOX458784:JOX458786 JYT458784:JYT458786 KIP458784:KIP458786 KSL458784:KSL458786 LCH458784:LCH458786 LMD458784:LMD458786 LVZ458784:LVZ458786 MFV458784:MFV458786 MPR458784:MPR458786 MZN458784:MZN458786 NJJ458784:NJJ458786 NTF458784:NTF458786 ODB458784:ODB458786 OMX458784:OMX458786 OWT458784:OWT458786 PGP458784:PGP458786 PQL458784:PQL458786 QAH458784:QAH458786 QKD458784:QKD458786 QTZ458784:QTZ458786 RDV458784:RDV458786 RNR458784:RNR458786 RXN458784:RXN458786 SHJ458784:SHJ458786 SRF458784:SRF458786 TBB458784:TBB458786 TKX458784:TKX458786 TUT458784:TUT458786 UEP458784:UEP458786 UOL458784:UOL458786 UYH458784:UYH458786 VID458784:VID458786 VRZ458784:VRZ458786 WBV458784:WBV458786 WLR458784:WLR458786 WVN458784:WVN458786 F524320:F524322 JB524320:JB524322 SX524320:SX524322 ACT524320:ACT524322 AMP524320:AMP524322 AWL524320:AWL524322 BGH524320:BGH524322 BQD524320:BQD524322 BZZ524320:BZZ524322 CJV524320:CJV524322 CTR524320:CTR524322 DDN524320:DDN524322 DNJ524320:DNJ524322 DXF524320:DXF524322 EHB524320:EHB524322 EQX524320:EQX524322 FAT524320:FAT524322 FKP524320:FKP524322 FUL524320:FUL524322 GEH524320:GEH524322 GOD524320:GOD524322 GXZ524320:GXZ524322 HHV524320:HHV524322 HRR524320:HRR524322 IBN524320:IBN524322 ILJ524320:ILJ524322 IVF524320:IVF524322 JFB524320:JFB524322 JOX524320:JOX524322 JYT524320:JYT524322 KIP524320:KIP524322 KSL524320:KSL524322 LCH524320:LCH524322 LMD524320:LMD524322 LVZ524320:LVZ524322 MFV524320:MFV524322 MPR524320:MPR524322 MZN524320:MZN524322 NJJ524320:NJJ524322 NTF524320:NTF524322 ODB524320:ODB524322 OMX524320:OMX524322 OWT524320:OWT524322 PGP524320:PGP524322 PQL524320:PQL524322 QAH524320:QAH524322 QKD524320:QKD524322 QTZ524320:QTZ524322 RDV524320:RDV524322 RNR524320:RNR524322 RXN524320:RXN524322 SHJ524320:SHJ524322 SRF524320:SRF524322 TBB524320:TBB524322 TKX524320:TKX524322 TUT524320:TUT524322 UEP524320:UEP524322 UOL524320:UOL524322 UYH524320:UYH524322 VID524320:VID524322 VRZ524320:VRZ524322 WBV524320:WBV524322 WLR524320:WLR524322 WVN524320:WVN524322 F589856:F589858 JB589856:JB589858 SX589856:SX589858 ACT589856:ACT589858 AMP589856:AMP589858 AWL589856:AWL589858 BGH589856:BGH589858 BQD589856:BQD589858 BZZ589856:BZZ589858 CJV589856:CJV589858 CTR589856:CTR589858 DDN589856:DDN589858 DNJ589856:DNJ589858 DXF589856:DXF589858 EHB589856:EHB589858 EQX589856:EQX589858 FAT589856:FAT589858 FKP589856:FKP589858 FUL589856:FUL589858 GEH589856:GEH589858 GOD589856:GOD589858 GXZ589856:GXZ589858 HHV589856:HHV589858 HRR589856:HRR589858 IBN589856:IBN589858 ILJ589856:ILJ589858 IVF589856:IVF589858 JFB589856:JFB589858 JOX589856:JOX589858 JYT589856:JYT589858 KIP589856:KIP589858 KSL589856:KSL589858 LCH589856:LCH589858 LMD589856:LMD589858 LVZ589856:LVZ589858 MFV589856:MFV589858 MPR589856:MPR589858 MZN589856:MZN589858 NJJ589856:NJJ589858 NTF589856:NTF589858 ODB589856:ODB589858 OMX589856:OMX589858 OWT589856:OWT589858 PGP589856:PGP589858 PQL589856:PQL589858 QAH589856:QAH589858 QKD589856:QKD589858 QTZ589856:QTZ589858 RDV589856:RDV589858 RNR589856:RNR589858 RXN589856:RXN589858 SHJ589856:SHJ589858 SRF589856:SRF589858 TBB589856:TBB589858 TKX589856:TKX589858 TUT589856:TUT589858 UEP589856:UEP589858 UOL589856:UOL589858 UYH589856:UYH589858 VID589856:VID589858 VRZ589856:VRZ589858 WBV589856:WBV589858 WLR589856:WLR589858 WVN589856:WVN589858 F655392:F655394 JB655392:JB655394 SX655392:SX655394 ACT655392:ACT655394 AMP655392:AMP655394 AWL655392:AWL655394 BGH655392:BGH655394 BQD655392:BQD655394 BZZ655392:BZZ655394 CJV655392:CJV655394 CTR655392:CTR655394 DDN655392:DDN655394 DNJ655392:DNJ655394 DXF655392:DXF655394 EHB655392:EHB655394 EQX655392:EQX655394 FAT655392:FAT655394 FKP655392:FKP655394 FUL655392:FUL655394 GEH655392:GEH655394 GOD655392:GOD655394 GXZ655392:GXZ655394 HHV655392:HHV655394 HRR655392:HRR655394 IBN655392:IBN655394 ILJ655392:ILJ655394 IVF655392:IVF655394 JFB655392:JFB655394 JOX655392:JOX655394 JYT655392:JYT655394 KIP655392:KIP655394 KSL655392:KSL655394 LCH655392:LCH655394 LMD655392:LMD655394 LVZ655392:LVZ655394 MFV655392:MFV655394 MPR655392:MPR655394 MZN655392:MZN655394 NJJ655392:NJJ655394 NTF655392:NTF655394 ODB655392:ODB655394 OMX655392:OMX655394 OWT655392:OWT655394 PGP655392:PGP655394 PQL655392:PQL655394 QAH655392:QAH655394 QKD655392:QKD655394 QTZ655392:QTZ655394 RDV655392:RDV655394 RNR655392:RNR655394 RXN655392:RXN655394 SHJ655392:SHJ655394 SRF655392:SRF655394 TBB655392:TBB655394 TKX655392:TKX655394 TUT655392:TUT655394 UEP655392:UEP655394 UOL655392:UOL655394 UYH655392:UYH655394 VID655392:VID655394 VRZ655392:VRZ655394 WBV655392:WBV655394 WLR655392:WLR655394 WVN655392:WVN655394 F720928:F720930 JB720928:JB720930 SX720928:SX720930 ACT720928:ACT720930 AMP720928:AMP720930 AWL720928:AWL720930 BGH720928:BGH720930 BQD720928:BQD720930 BZZ720928:BZZ720930 CJV720928:CJV720930 CTR720928:CTR720930 DDN720928:DDN720930 DNJ720928:DNJ720930 DXF720928:DXF720930 EHB720928:EHB720930 EQX720928:EQX720930 FAT720928:FAT720930 FKP720928:FKP720930 FUL720928:FUL720930 GEH720928:GEH720930 GOD720928:GOD720930 GXZ720928:GXZ720930 HHV720928:HHV720930 HRR720928:HRR720930 IBN720928:IBN720930 ILJ720928:ILJ720930 IVF720928:IVF720930 JFB720928:JFB720930 JOX720928:JOX720930 JYT720928:JYT720930 KIP720928:KIP720930 KSL720928:KSL720930 LCH720928:LCH720930 LMD720928:LMD720930 LVZ720928:LVZ720930 MFV720928:MFV720930 MPR720928:MPR720930 MZN720928:MZN720930 NJJ720928:NJJ720930 NTF720928:NTF720930 ODB720928:ODB720930 OMX720928:OMX720930 OWT720928:OWT720930 PGP720928:PGP720930 PQL720928:PQL720930 QAH720928:QAH720930 QKD720928:QKD720930 QTZ720928:QTZ720930 RDV720928:RDV720930 RNR720928:RNR720930 RXN720928:RXN720930 SHJ720928:SHJ720930 SRF720928:SRF720930 TBB720928:TBB720930 TKX720928:TKX720930 TUT720928:TUT720930 UEP720928:UEP720930 UOL720928:UOL720930 UYH720928:UYH720930 VID720928:VID720930 VRZ720928:VRZ720930 WBV720928:WBV720930 WLR720928:WLR720930 WVN720928:WVN720930 F786464:F786466 JB786464:JB786466 SX786464:SX786466 ACT786464:ACT786466 AMP786464:AMP786466 AWL786464:AWL786466 BGH786464:BGH786466 BQD786464:BQD786466 BZZ786464:BZZ786466 CJV786464:CJV786466 CTR786464:CTR786466 DDN786464:DDN786466 DNJ786464:DNJ786466 DXF786464:DXF786466 EHB786464:EHB786466 EQX786464:EQX786466 FAT786464:FAT786466 FKP786464:FKP786466 FUL786464:FUL786466 GEH786464:GEH786466 GOD786464:GOD786466 GXZ786464:GXZ786466 HHV786464:HHV786466 HRR786464:HRR786466 IBN786464:IBN786466 ILJ786464:ILJ786466 IVF786464:IVF786466 JFB786464:JFB786466 JOX786464:JOX786466 JYT786464:JYT786466 KIP786464:KIP786466 KSL786464:KSL786466 LCH786464:LCH786466 LMD786464:LMD786466 LVZ786464:LVZ786466 MFV786464:MFV786466 MPR786464:MPR786466 MZN786464:MZN786466 NJJ786464:NJJ786466 NTF786464:NTF786466 ODB786464:ODB786466 OMX786464:OMX786466 OWT786464:OWT786466 PGP786464:PGP786466 PQL786464:PQL786466 QAH786464:QAH786466 QKD786464:QKD786466 QTZ786464:QTZ786466 RDV786464:RDV786466 RNR786464:RNR786466 RXN786464:RXN786466 SHJ786464:SHJ786466 SRF786464:SRF786466 TBB786464:TBB786466 TKX786464:TKX786466 TUT786464:TUT786466 UEP786464:UEP786466 UOL786464:UOL786466 UYH786464:UYH786466 VID786464:VID786466 VRZ786464:VRZ786466 WBV786464:WBV786466 WLR786464:WLR786466 WVN786464:WVN786466 F852000:F852002 JB852000:JB852002 SX852000:SX852002 ACT852000:ACT852002 AMP852000:AMP852002 AWL852000:AWL852002 BGH852000:BGH852002 BQD852000:BQD852002 BZZ852000:BZZ852002 CJV852000:CJV852002 CTR852000:CTR852002 DDN852000:DDN852002 DNJ852000:DNJ852002 DXF852000:DXF852002 EHB852000:EHB852002 EQX852000:EQX852002 FAT852000:FAT852002 FKP852000:FKP852002 FUL852000:FUL852002 GEH852000:GEH852002 GOD852000:GOD852002 GXZ852000:GXZ852002 HHV852000:HHV852002 HRR852000:HRR852002 IBN852000:IBN852002 ILJ852000:ILJ852002 IVF852000:IVF852002 JFB852000:JFB852002 JOX852000:JOX852002 JYT852000:JYT852002 KIP852000:KIP852002 KSL852000:KSL852002 LCH852000:LCH852002 LMD852000:LMD852002 LVZ852000:LVZ852002 MFV852000:MFV852002 MPR852000:MPR852002 MZN852000:MZN852002 NJJ852000:NJJ852002 NTF852000:NTF852002 ODB852000:ODB852002 OMX852000:OMX852002 OWT852000:OWT852002 PGP852000:PGP852002 PQL852000:PQL852002 QAH852000:QAH852002 QKD852000:QKD852002 QTZ852000:QTZ852002 RDV852000:RDV852002 RNR852000:RNR852002 RXN852000:RXN852002 SHJ852000:SHJ852002 SRF852000:SRF852002 TBB852000:TBB852002 TKX852000:TKX852002 TUT852000:TUT852002 UEP852000:UEP852002 UOL852000:UOL852002 UYH852000:UYH852002 VID852000:VID852002 VRZ852000:VRZ852002 WBV852000:WBV852002 WLR852000:WLR852002 WVN852000:WVN852002 F917536:F917538 JB917536:JB917538 SX917536:SX917538 ACT917536:ACT917538 AMP917536:AMP917538 AWL917536:AWL917538 BGH917536:BGH917538 BQD917536:BQD917538 BZZ917536:BZZ917538 CJV917536:CJV917538 CTR917536:CTR917538 DDN917536:DDN917538 DNJ917536:DNJ917538 DXF917536:DXF917538 EHB917536:EHB917538 EQX917536:EQX917538 FAT917536:FAT917538 FKP917536:FKP917538 FUL917536:FUL917538 GEH917536:GEH917538 GOD917536:GOD917538 GXZ917536:GXZ917538 HHV917536:HHV917538 HRR917536:HRR917538 IBN917536:IBN917538 ILJ917536:ILJ917538 IVF917536:IVF917538 JFB917536:JFB917538 JOX917536:JOX917538 JYT917536:JYT917538 KIP917536:KIP917538 KSL917536:KSL917538 LCH917536:LCH917538 LMD917536:LMD917538 LVZ917536:LVZ917538 MFV917536:MFV917538 MPR917536:MPR917538 MZN917536:MZN917538 NJJ917536:NJJ917538 NTF917536:NTF917538 ODB917536:ODB917538 OMX917536:OMX917538 OWT917536:OWT917538 PGP917536:PGP917538 PQL917536:PQL917538 QAH917536:QAH917538 QKD917536:QKD917538 QTZ917536:QTZ917538 RDV917536:RDV917538 RNR917536:RNR917538 RXN917536:RXN917538 SHJ917536:SHJ917538 SRF917536:SRF917538 TBB917536:TBB917538 TKX917536:TKX917538 TUT917536:TUT917538 UEP917536:UEP917538 UOL917536:UOL917538 UYH917536:UYH917538 VID917536:VID917538 VRZ917536:VRZ917538 WBV917536:WBV917538 WLR917536:WLR917538 WVN917536:WVN917538 F983072:F983074 JB983072:JB983074 SX983072:SX983074 ACT983072:ACT983074 AMP983072:AMP983074 AWL983072:AWL983074 BGH983072:BGH983074 BQD983072:BQD983074 BZZ983072:BZZ983074 CJV983072:CJV983074 CTR983072:CTR983074 DDN983072:DDN983074 DNJ983072:DNJ983074 DXF983072:DXF983074 EHB983072:EHB983074 EQX983072:EQX983074 FAT983072:FAT983074 FKP983072:FKP983074 FUL983072:FUL983074 GEH983072:GEH983074 GOD983072:GOD983074 GXZ983072:GXZ983074 HHV983072:HHV983074 HRR983072:HRR983074 IBN983072:IBN983074 ILJ983072:ILJ983074 IVF983072:IVF983074 JFB983072:JFB983074 JOX983072:JOX983074 JYT983072:JYT983074 KIP983072:KIP983074 KSL983072:KSL983074 LCH983072:LCH983074 LMD983072:LMD983074 LVZ983072:LVZ983074 MFV983072:MFV983074 MPR983072:MPR983074 MZN983072:MZN983074 NJJ983072:NJJ983074 NTF983072:NTF983074 ODB983072:ODB983074 OMX983072:OMX983074 OWT983072:OWT983074 PGP983072:PGP983074 PQL983072:PQL983074 QAH983072:QAH983074 QKD983072:QKD983074 QTZ983072:QTZ983074 RDV983072:RDV983074 RNR983072:RNR983074 RXN983072:RXN983074 SHJ983072:SHJ983074 SRF983072:SRF983074 TBB983072:TBB983074 TKX983072:TKX983074 TUT983072:TUT983074 UEP983072:UEP983074 UOL983072:UOL983074 UYH983072:UYH983074 VID983072:VID983074 VRZ983072:VRZ983074 WBV983072:WBV983074 WLR983072:WLR983074 WVN983072:WVN983074" xr:uid="{D1B0549B-0CAB-4E5B-8DB2-2072834E2C90}"/>
    <dataValidation type="list" allowBlank="1" showInputMessage="1" showErrorMessage="1" sqref="WVT983062:WVX983062 JH22:JL22 TD22:TH22 ACZ22:ADD22 AMV22:AMZ22 AWR22:AWV22 BGN22:BGR22 BQJ22:BQN22 CAF22:CAJ22 CKB22:CKF22 CTX22:CUB22 DDT22:DDX22 DNP22:DNT22 DXL22:DXP22 EHH22:EHL22 ERD22:ERH22 FAZ22:FBD22 FKV22:FKZ22 FUR22:FUV22 GEN22:GER22 GOJ22:GON22 GYF22:GYJ22 HIB22:HIF22 HRX22:HSB22 IBT22:IBX22 ILP22:ILT22 IVL22:IVP22 JFH22:JFL22 JPD22:JPH22 JYZ22:JZD22 KIV22:KIZ22 KSR22:KSV22 LCN22:LCR22 LMJ22:LMN22 LWF22:LWJ22 MGB22:MGF22 MPX22:MQB22 MZT22:MZX22 NJP22:NJT22 NTL22:NTP22 ODH22:ODL22 OND22:ONH22 OWZ22:OXD22 PGV22:PGZ22 PQR22:PQV22 QAN22:QAR22 QKJ22:QKN22 QUF22:QUJ22 REB22:REF22 RNX22:ROB22 RXT22:RXX22 SHP22:SHT22 SRL22:SRP22 TBH22:TBL22 TLD22:TLH22 TUZ22:TVD22 UEV22:UEZ22 UOR22:UOV22 UYN22:UYR22 VIJ22:VIN22 VSF22:VSJ22 WCB22:WCF22 WLX22:WMB22 WVT22:WVX22 L65558:P65558 JH65558:JL65558 TD65558:TH65558 ACZ65558:ADD65558 AMV65558:AMZ65558 AWR65558:AWV65558 BGN65558:BGR65558 BQJ65558:BQN65558 CAF65558:CAJ65558 CKB65558:CKF65558 CTX65558:CUB65558 DDT65558:DDX65558 DNP65558:DNT65558 DXL65558:DXP65558 EHH65558:EHL65558 ERD65558:ERH65558 FAZ65558:FBD65558 FKV65558:FKZ65558 FUR65558:FUV65558 GEN65558:GER65558 GOJ65558:GON65558 GYF65558:GYJ65558 HIB65558:HIF65558 HRX65558:HSB65558 IBT65558:IBX65558 ILP65558:ILT65558 IVL65558:IVP65558 JFH65558:JFL65558 JPD65558:JPH65558 JYZ65558:JZD65558 KIV65558:KIZ65558 KSR65558:KSV65558 LCN65558:LCR65558 LMJ65558:LMN65558 LWF65558:LWJ65558 MGB65558:MGF65558 MPX65558:MQB65558 MZT65558:MZX65558 NJP65558:NJT65558 NTL65558:NTP65558 ODH65558:ODL65558 OND65558:ONH65558 OWZ65558:OXD65558 PGV65558:PGZ65558 PQR65558:PQV65558 QAN65558:QAR65558 QKJ65558:QKN65558 QUF65558:QUJ65558 REB65558:REF65558 RNX65558:ROB65558 RXT65558:RXX65558 SHP65558:SHT65558 SRL65558:SRP65558 TBH65558:TBL65558 TLD65558:TLH65558 TUZ65558:TVD65558 UEV65558:UEZ65558 UOR65558:UOV65558 UYN65558:UYR65558 VIJ65558:VIN65558 VSF65558:VSJ65558 WCB65558:WCF65558 WLX65558:WMB65558 WVT65558:WVX65558 L131094:P131094 JH131094:JL131094 TD131094:TH131094 ACZ131094:ADD131094 AMV131094:AMZ131094 AWR131094:AWV131094 BGN131094:BGR131094 BQJ131094:BQN131094 CAF131094:CAJ131094 CKB131094:CKF131094 CTX131094:CUB131094 DDT131094:DDX131094 DNP131094:DNT131094 DXL131094:DXP131094 EHH131094:EHL131094 ERD131094:ERH131094 FAZ131094:FBD131094 FKV131094:FKZ131094 FUR131094:FUV131094 GEN131094:GER131094 GOJ131094:GON131094 GYF131094:GYJ131094 HIB131094:HIF131094 HRX131094:HSB131094 IBT131094:IBX131094 ILP131094:ILT131094 IVL131094:IVP131094 JFH131094:JFL131094 JPD131094:JPH131094 JYZ131094:JZD131094 KIV131094:KIZ131094 KSR131094:KSV131094 LCN131094:LCR131094 LMJ131094:LMN131094 LWF131094:LWJ131094 MGB131094:MGF131094 MPX131094:MQB131094 MZT131094:MZX131094 NJP131094:NJT131094 NTL131094:NTP131094 ODH131094:ODL131094 OND131094:ONH131094 OWZ131094:OXD131094 PGV131094:PGZ131094 PQR131094:PQV131094 QAN131094:QAR131094 QKJ131094:QKN131094 QUF131094:QUJ131094 REB131094:REF131094 RNX131094:ROB131094 RXT131094:RXX131094 SHP131094:SHT131094 SRL131094:SRP131094 TBH131094:TBL131094 TLD131094:TLH131094 TUZ131094:TVD131094 UEV131094:UEZ131094 UOR131094:UOV131094 UYN131094:UYR131094 VIJ131094:VIN131094 VSF131094:VSJ131094 WCB131094:WCF131094 WLX131094:WMB131094 WVT131094:WVX131094 L196630:P196630 JH196630:JL196630 TD196630:TH196630 ACZ196630:ADD196630 AMV196630:AMZ196630 AWR196630:AWV196630 BGN196630:BGR196630 BQJ196630:BQN196630 CAF196630:CAJ196630 CKB196630:CKF196630 CTX196630:CUB196630 DDT196630:DDX196630 DNP196630:DNT196630 DXL196630:DXP196630 EHH196630:EHL196630 ERD196630:ERH196630 FAZ196630:FBD196630 FKV196630:FKZ196630 FUR196630:FUV196630 GEN196630:GER196630 GOJ196630:GON196630 GYF196630:GYJ196630 HIB196630:HIF196630 HRX196630:HSB196630 IBT196630:IBX196630 ILP196630:ILT196630 IVL196630:IVP196630 JFH196630:JFL196630 JPD196630:JPH196630 JYZ196630:JZD196630 KIV196630:KIZ196630 KSR196630:KSV196630 LCN196630:LCR196630 LMJ196630:LMN196630 LWF196630:LWJ196630 MGB196630:MGF196630 MPX196630:MQB196630 MZT196630:MZX196630 NJP196630:NJT196630 NTL196630:NTP196630 ODH196630:ODL196630 OND196630:ONH196630 OWZ196630:OXD196630 PGV196630:PGZ196630 PQR196630:PQV196630 QAN196630:QAR196630 QKJ196630:QKN196630 QUF196630:QUJ196630 REB196630:REF196630 RNX196630:ROB196630 RXT196630:RXX196630 SHP196630:SHT196630 SRL196630:SRP196630 TBH196630:TBL196630 TLD196630:TLH196630 TUZ196630:TVD196630 UEV196630:UEZ196630 UOR196630:UOV196630 UYN196630:UYR196630 VIJ196630:VIN196630 VSF196630:VSJ196630 WCB196630:WCF196630 WLX196630:WMB196630 WVT196630:WVX196630 L262166:P262166 JH262166:JL262166 TD262166:TH262166 ACZ262166:ADD262166 AMV262166:AMZ262166 AWR262166:AWV262166 BGN262166:BGR262166 BQJ262166:BQN262166 CAF262166:CAJ262166 CKB262166:CKF262166 CTX262166:CUB262166 DDT262166:DDX262166 DNP262166:DNT262166 DXL262166:DXP262166 EHH262166:EHL262166 ERD262166:ERH262166 FAZ262166:FBD262166 FKV262166:FKZ262166 FUR262166:FUV262166 GEN262166:GER262166 GOJ262166:GON262166 GYF262166:GYJ262166 HIB262166:HIF262166 HRX262166:HSB262166 IBT262166:IBX262166 ILP262166:ILT262166 IVL262166:IVP262166 JFH262166:JFL262166 JPD262166:JPH262166 JYZ262166:JZD262166 KIV262166:KIZ262166 KSR262166:KSV262166 LCN262166:LCR262166 LMJ262166:LMN262166 LWF262166:LWJ262166 MGB262166:MGF262166 MPX262166:MQB262166 MZT262166:MZX262166 NJP262166:NJT262166 NTL262166:NTP262166 ODH262166:ODL262166 OND262166:ONH262166 OWZ262166:OXD262166 PGV262166:PGZ262166 PQR262166:PQV262166 QAN262166:QAR262166 QKJ262166:QKN262166 QUF262166:QUJ262166 REB262166:REF262166 RNX262166:ROB262166 RXT262166:RXX262166 SHP262166:SHT262166 SRL262166:SRP262166 TBH262166:TBL262166 TLD262166:TLH262166 TUZ262166:TVD262166 UEV262166:UEZ262166 UOR262166:UOV262166 UYN262166:UYR262166 VIJ262166:VIN262166 VSF262166:VSJ262166 WCB262166:WCF262166 WLX262166:WMB262166 WVT262166:WVX262166 L327702:P327702 JH327702:JL327702 TD327702:TH327702 ACZ327702:ADD327702 AMV327702:AMZ327702 AWR327702:AWV327702 BGN327702:BGR327702 BQJ327702:BQN327702 CAF327702:CAJ327702 CKB327702:CKF327702 CTX327702:CUB327702 DDT327702:DDX327702 DNP327702:DNT327702 DXL327702:DXP327702 EHH327702:EHL327702 ERD327702:ERH327702 FAZ327702:FBD327702 FKV327702:FKZ327702 FUR327702:FUV327702 GEN327702:GER327702 GOJ327702:GON327702 GYF327702:GYJ327702 HIB327702:HIF327702 HRX327702:HSB327702 IBT327702:IBX327702 ILP327702:ILT327702 IVL327702:IVP327702 JFH327702:JFL327702 JPD327702:JPH327702 JYZ327702:JZD327702 KIV327702:KIZ327702 KSR327702:KSV327702 LCN327702:LCR327702 LMJ327702:LMN327702 LWF327702:LWJ327702 MGB327702:MGF327702 MPX327702:MQB327702 MZT327702:MZX327702 NJP327702:NJT327702 NTL327702:NTP327702 ODH327702:ODL327702 OND327702:ONH327702 OWZ327702:OXD327702 PGV327702:PGZ327702 PQR327702:PQV327702 QAN327702:QAR327702 QKJ327702:QKN327702 QUF327702:QUJ327702 REB327702:REF327702 RNX327702:ROB327702 RXT327702:RXX327702 SHP327702:SHT327702 SRL327702:SRP327702 TBH327702:TBL327702 TLD327702:TLH327702 TUZ327702:TVD327702 UEV327702:UEZ327702 UOR327702:UOV327702 UYN327702:UYR327702 VIJ327702:VIN327702 VSF327702:VSJ327702 WCB327702:WCF327702 WLX327702:WMB327702 WVT327702:WVX327702 L393238:P393238 JH393238:JL393238 TD393238:TH393238 ACZ393238:ADD393238 AMV393238:AMZ393238 AWR393238:AWV393238 BGN393238:BGR393238 BQJ393238:BQN393238 CAF393238:CAJ393238 CKB393238:CKF393238 CTX393238:CUB393238 DDT393238:DDX393238 DNP393238:DNT393238 DXL393238:DXP393238 EHH393238:EHL393238 ERD393238:ERH393238 FAZ393238:FBD393238 FKV393238:FKZ393238 FUR393238:FUV393238 GEN393238:GER393238 GOJ393238:GON393238 GYF393238:GYJ393238 HIB393238:HIF393238 HRX393238:HSB393238 IBT393238:IBX393238 ILP393238:ILT393238 IVL393238:IVP393238 JFH393238:JFL393238 JPD393238:JPH393238 JYZ393238:JZD393238 KIV393238:KIZ393238 KSR393238:KSV393238 LCN393238:LCR393238 LMJ393238:LMN393238 LWF393238:LWJ393238 MGB393238:MGF393238 MPX393238:MQB393238 MZT393238:MZX393238 NJP393238:NJT393238 NTL393238:NTP393238 ODH393238:ODL393238 OND393238:ONH393238 OWZ393238:OXD393238 PGV393238:PGZ393238 PQR393238:PQV393238 QAN393238:QAR393238 QKJ393238:QKN393238 QUF393238:QUJ393238 REB393238:REF393238 RNX393238:ROB393238 RXT393238:RXX393238 SHP393238:SHT393238 SRL393238:SRP393238 TBH393238:TBL393238 TLD393238:TLH393238 TUZ393238:TVD393238 UEV393238:UEZ393238 UOR393238:UOV393238 UYN393238:UYR393238 VIJ393238:VIN393238 VSF393238:VSJ393238 WCB393238:WCF393238 WLX393238:WMB393238 WVT393238:WVX393238 L458774:P458774 JH458774:JL458774 TD458774:TH458774 ACZ458774:ADD458774 AMV458774:AMZ458774 AWR458774:AWV458774 BGN458774:BGR458774 BQJ458774:BQN458774 CAF458774:CAJ458774 CKB458774:CKF458774 CTX458774:CUB458774 DDT458774:DDX458774 DNP458774:DNT458774 DXL458774:DXP458774 EHH458774:EHL458774 ERD458774:ERH458774 FAZ458774:FBD458774 FKV458774:FKZ458774 FUR458774:FUV458774 GEN458774:GER458774 GOJ458774:GON458774 GYF458774:GYJ458774 HIB458774:HIF458774 HRX458774:HSB458774 IBT458774:IBX458774 ILP458774:ILT458774 IVL458774:IVP458774 JFH458774:JFL458774 JPD458774:JPH458774 JYZ458774:JZD458774 KIV458774:KIZ458774 KSR458774:KSV458774 LCN458774:LCR458774 LMJ458774:LMN458774 LWF458774:LWJ458774 MGB458774:MGF458774 MPX458774:MQB458774 MZT458774:MZX458774 NJP458774:NJT458774 NTL458774:NTP458774 ODH458774:ODL458774 OND458774:ONH458774 OWZ458774:OXD458774 PGV458774:PGZ458774 PQR458774:PQV458774 QAN458774:QAR458774 QKJ458774:QKN458774 QUF458774:QUJ458774 REB458774:REF458774 RNX458774:ROB458774 RXT458774:RXX458774 SHP458774:SHT458774 SRL458774:SRP458774 TBH458774:TBL458774 TLD458774:TLH458774 TUZ458774:TVD458774 UEV458774:UEZ458774 UOR458774:UOV458774 UYN458774:UYR458774 VIJ458774:VIN458774 VSF458774:VSJ458774 WCB458774:WCF458774 WLX458774:WMB458774 WVT458774:WVX458774 L524310:P524310 JH524310:JL524310 TD524310:TH524310 ACZ524310:ADD524310 AMV524310:AMZ524310 AWR524310:AWV524310 BGN524310:BGR524310 BQJ524310:BQN524310 CAF524310:CAJ524310 CKB524310:CKF524310 CTX524310:CUB524310 DDT524310:DDX524310 DNP524310:DNT524310 DXL524310:DXP524310 EHH524310:EHL524310 ERD524310:ERH524310 FAZ524310:FBD524310 FKV524310:FKZ524310 FUR524310:FUV524310 GEN524310:GER524310 GOJ524310:GON524310 GYF524310:GYJ524310 HIB524310:HIF524310 HRX524310:HSB524310 IBT524310:IBX524310 ILP524310:ILT524310 IVL524310:IVP524310 JFH524310:JFL524310 JPD524310:JPH524310 JYZ524310:JZD524310 KIV524310:KIZ524310 KSR524310:KSV524310 LCN524310:LCR524310 LMJ524310:LMN524310 LWF524310:LWJ524310 MGB524310:MGF524310 MPX524310:MQB524310 MZT524310:MZX524310 NJP524310:NJT524310 NTL524310:NTP524310 ODH524310:ODL524310 OND524310:ONH524310 OWZ524310:OXD524310 PGV524310:PGZ524310 PQR524310:PQV524310 QAN524310:QAR524310 QKJ524310:QKN524310 QUF524310:QUJ524310 REB524310:REF524310 RNX524310:ROB524310 RXT524310:RXX524310 SHP524310:SHT524310 SRL524310:SRP524310 TBH524310:TBL524310 TLD524310:TLH524310 TUZ524310:TVD524310 UEV524310:UEZ524310 UOR524310:UOV524310 UYN524310:UYR524310 VIJ524310:VIN524310 VSF524310:VSJ524310 WCB524310:WCF524310 WLX524310:WMB524310 WVT524310:WVX524310 L589846:P589846 JH589846:JL589846 TD589846:TH589846 ACZ589846:ADD589846 AMV589846:AMZ589846 AWR589846:AWV589846 BGN589846:BGR589846 BQJ589846:BQN589846 CAF589846:CAJ589846 CKB589846:CKF589846 CTX589846:CUB589846 DDT589846:DDX589846 DNP589846:DNT589846 DXL589846:DXP589846 EHH589846:EHL589846 ERD589846:ERH589846 FAZ589846:FBD589846 FKV589846:FKZ589846 FUR589846:FUV589846 GEN589846:GER589846 GOJ589846:GON589846 GYF589846:GYJ589846 HIB589846:HIF589846 HRX589846:HSB589846 IBT589846:IBX589846 ILP589846:ILT589846 IVL589846:IVP589846 JFH589846:JFL589846 JPD589846:JPH589846 JYZ589846:JZD589846 KIV589846:KIZ589846 KSR589846:KSV589846 LCN589846:LCR589846 LMJ589846:LMN589846 LWF589846:LWJ589846 MGB589846:MGF589846 MPX589846:MQB589846 MZT589846:MZX589846 NJP589846:NJT589846 NTL589846:NTP589846 ODH589846:ODL589846 OND589846:ONH589846 OWZ589846:OXD589846 PGV589846:PGZ589846 PQR589846:PQV589846 QAN589846:QAR589846 QKJ589846:QKN589846 QUF589846:QUJ589846 REB589846:REF589846 RNX589846:ROB589846 RXT589846:RXX589846 SHP589846:SHT589846 SRL589846:SRP589846 TBH589846:TBL589846 TLD589846:TLH589846 TUZ589846:TVD589846 UEV589846:UEZ589846 UOR589846:UOV589846 UYN589846:UYR589846 VIJ589846:VIN589846 VSF589846:VSJ589846 WCB589846:WCF589846 WLX589846:WMB589846 WVT589846:WVX589846 L655382:P655382 JH655382:JL655382 TD655382:TH655382 ACZ655382:ADD655382 AMV655382:AMZ655382 AWR655382:AWV655382 BGN655382:BGR655382 BQJ655382:BQN655382 CAF655382:CAJ655382 CKB655382:CKF655382 CTX655382:CUB655382 DDT655382:DDX655382 DNP655382:DNT655382 DXL655382:DXP655382 EHH655382:EHL655382 ERD655382:ERH655382 FAZ655382:FBD655382 FKV655382:FKZ655382 FUR655382:FUV655382 GEN655382:GER655382 GOJ655382:GON655382 GYF655382:GYJ655382 HIB655382:HIF655382 HRX655382:HSB655382 IBT655382:IBX655382 ILP655382:ILT655382 IVL655382:IVP655382 JFH655382:JFL655382 JPD655382:JPH655382 JYZ655382:JZD655382 KIV655382:KIZ655382 KSR655382:KSV655382 LCN655382:LCR655382 LMJ655382:LMN655382 LWF655382:LWJ655382 MGB655382:MGF655382 MPX655382:MQB655382 MZT655382:MZX655382 NJP655382:NJT655382 NTL655382:NTP655382 ODH655382:ODL655382 OND655382:ONH655382 OWZ655382:OXD655382 PGV655382:PGZ655382 PQR655382:PQV655382 QAN655382:QAR655382 QKJ655382:QKN655382 QUF655382:QUJ655382 REB655382:REF655382 RNX655382:ROB655382 RXT655382:RXX655382 SHP655382:SHT655382 SRL655382:SRP655382 TBH655382:TBL655382 TLD655382:TLH655382 TUZ655382:TVD655382 UEV655382:UEZ655382 UOR655382:UOV655382 UYN655382:UYR655382 VIJ655382:VIN655382 VSF655382:VSJ655382 WCB655382:WCF655382 WLX655382:WMB655382 WVT655382:WVX655382 L720918:P720918 JH720918:JL720918 TD720918:TH720918 ACZ720918:ADD720918 AMV720918:AMZ720918 AWR720918:AWV720918 BGN720918:BGR720918 BQJ720918:BQN720918 CAF720918:CAJ720918 CKB720918:CKF720918 CTX720918:CUB720918 DDT720918:DDX720918 DNP720918:DNT720918 DXL720918:DXP720918 EHH720918:EHL720918 ERD720918:ERH720918 FAZ720918:FBD720918 FKV720918:FKZ720918 FUR720918:FUV720918 GEN720918:GER720918 GOJ720918:GON720918 GYF720918:GYJ720918 HIB720918:HIF720918 HRX720918:HSB720918 IBT720918:IBX720918 ILP720918:ILT720918 IVL720918:IVP720918 JFH720918:JFL720918 JPD720918:JPH720918 JYZ720918:JZD720918 KIV720918:KIZ720918 KSR720918:KSV720918 LCN720918:LCR720918 LMJ720918:LMN720918 LWF720918:LWJ720918 MGB720918:MGF720918 MPX720918:MQB720918 MZT720918:MZX720918 NJP720918:NJT720918 NTL720918:NTP720918 ODH720918:ODL720918 OND720918:ONH720918 OWZ720918:OXD720918 PGV720918:PGZ720918 PQR720918:PQV720918 QAN720918:QAR720918 QKJ720918:QKN720918 QUF720918:QUJ720918 REB720918:REF720918 RNX720918:ROB720918 RXT720918:RXX720918 SHP720918:SHT720918 SRL720918:SRP720918 TBH720918:TBL720918 TLD720918:TLH720918 TUZ720918:TVD720918 UEV720918:UEZ720918 UOR720918:UOV720918 UYN720918:UYR720918 VIJ720918:VIN720918 VSF720918:VSJ720918 WCB720918:WCF720918 WLX720918:WMB720918 WVT720918:WVX720918 L786454:P786454 JH786454:JL786454 TD786454:TH786454 ACZ786454:ADD786454 AMV786454:AMZ786454 AWR786454:AWV786454 BGN786454:BGR786454 BQJ786454:BQN786454 CAF786454:CAJ786454 CKB786454:CKF786454 CTX786454:CUB786454 DDT786454:DDX786454 DNP786454:DNT786454 DXL786454:DXP786454 EHH786454:EHL786454 ERD786454:ERH786454 FAZ786454:FBD786454 FKV786454:FKZ786454 FUR786454:FUV786454 GEN786454:GER786454 GOJ786454:GON786454 GYF786454:GYJ786454 HIB786454:HIF786454 HRX786454:HSB786454 IBT786454:IBX786454 ILP786454:ILT786454 IVL786454:IVP786454 JFH786454:JFL786454 JPD786454:JPH786454 JYZ786454:JZD786454 KIV786454:KIZ786454 KSR786454:KSV786454 LCN786454:LCR786454 LMJ786454:LMN786454 LWF786454:LWJ786454 MGB786454:MGF786454 MPX786454:MQB786454 MZT786454:MZX786454 NJP786454:NJT786454 NTL786454:NTP786454 ODH786454:ODL786454 OND786454:ONH786454 OWZ786454:OXD786454 PGV786454:PGZ786454 PQR786454:PQV786454 QAN786454:QAR786454 QKJ786454:QKN786454 QUF786454:QUJ786454 REB786454:REF786454 RNX786454:ROB786454 RXT786454:RXX786454 SHP786454:SHT786454 SRL786454:SRP786454 TBH786454:TBL786454 TLD786454:TLH786454 TUZ786454:TVD786454 UEV786454:UEZ786454 UOR786454:UOV786454 UYN786454:UYR786454 VIJ786454:VIN786454 VSF786454:VSJ786454 WCB786454:WCF786454 WLX786454:WMB786454 WVT786454:WVX786454 L851990:P851990 JH851990:JL851990 TD851990:TH851990 ACZ851990:ADD851990 AMV851990:AMZ851990 AWR851990:AWV851990 BGN851990:BGR851990 BQJ851990:BQN851990 CAF851990:CAJ851990 CKB851990:CKF851990 CTX851990:CUB851990 DDT851990:DDX851990 DNP851990:DNT851990 DXL851990:DXP851990 EHH851990:EHL851990 ERD851990:ERH851990 FAZ851990:FBD851990 FKV851990:FKZ851990 FUR851990:FUV851990 GEN851990:GER851990 GOJ851990:GON851990 GYF851990:GYJ851990 HIB851990:HIF851990 HRX851990:HSB851990 IBT851990:IBX851990 ILP851990:ILT851990 IVL851990:IVP851990 JFH851990:JFL851990 JPD851990:JPH851990 JYZ851990:JZD851990 KIV851990:KIZ851990 KSR851990:KSV851990 LCN851990:LCR851990 LMJ851990:LMN851990 LWF851990:LWJ851990 MGB851990:MGF851990 MPX851990:MQB851990 MZT851990:MZX851990 NJP851990:NJT851990 NTL851990:NTP851990 ODH851990:ODL851990 OND851990:ONH851990 OWZ851990:OXD851990 PGV851990:PGZ851990 PQR851990:PQV851990 QAN851990:QAR851990 QKJ851990:QKN851990 QUF851990:QUJ851990 REB851990:REF851990 RNX851990:ROB851990 RXT851990:RXX851990 SHP851990:SHT851990 SRL851990:SRP851990 TBH851990:TBL851990 TLD851990:TLH851990 TUZ851990:TVD851990 UEV851990:UEZ851990 UOR851990:UOV851990 UYN851990:UYR851990 VIJ851990:VIN851990 VSF851990:VSJ851990 WCB851990:WCF851990 WLX851990:WMB851990 WVT851990:WVX851990 L917526:P917526 JH917526:JL917526 TD917526:TH917526 ACZ917526:ADD917526 AMV917526:AMZ917526 AWR917526:AWV917526 BGN917526:BGR917526 BQJ917526:BQN917526 CAF917526:CAJ917526 CKB917526:CKF917526 CTX917526:CUB917526 DDT917526:DDX917526 DNP917526:DNT917526 DXL917526:DXP917526 EHH917526:EHL917526 ERD917526:ERH917526 FAZ917526:FBD917526 FKV917526:FKZ917526 FUR917526:FUV917526 GEN917526:GER917526 GOJ917526:GON917526 GYF917526:GYJ917526 HIB917526:HIF917526 HRX917526:HSB917526 IBT917526:IBX917526 ILP917526:ILT917526 IVL917526:IVP917526 JFH917526:JFL917526 JPD917526:JPH917526 JYZ917526:JZD917526 KIV917526:KIZ917526 KSR917526:KSV917526 LCN917526:LCR917526 LMJ917526:LMN917526 LWF917526:LWJ917526 MGB917526:MGF917526 MPX917526:MQB917526 MZT917526:MZX917526 NJP917526:NJT917526 NTL917526:NTP917526 ODH917526:ODL917526 OND917526:ONH917526 OWZ917526:OXD917526 PGV917526:PGZ917526 PQR917526:PQV917526 QAN917526:QAR917526 QKJ917526:QKN917526 QUF917526:QUJ917526 REB917526:REF917526 RNX917526:ROB917526 RXT917526:RXX917526 SHP917526:SHT917526 SRL917526:SRP917526 TBH917526:TBL917526 TLD917526:TLH917526 TUZ917526:TVD917526 UEV917526:UEZ917526 UOR917526:UOV917526 UYN917526:UYR917526 VIJ917526:VIN917526 VSF917526:VSJ917526 WCB917526:WCF917526 WLX917526:WMB917526 WVT917526:WVX917526 L983062:P983062 JH983062:JL983062 TD983062:TH983062 ACZ983062:ADD983062 AMV983062:AMZ983062 AWR983062:AWV983062 BGN983062:BGR983062 BQJ983062:BQN983062 CAF983062:CAJ983062 CKB983062:CKF983062 CTX983062:CUB983062 DDT983062:DDX983062 DNP983062:DNT983062 DXL983062:DXP983062 EHH983062:EHL983062 ERD983062:ERH983062 FAZ983062:FBD983062 FKV983062:FKZ983062 FUR983062:FUV983062 GEN983062:GER983062 GOJ983062:GON983062 GYF983062:GYJ983062 HIB983062:HIF983062 HRX983062:HSB983062 IBT983062:IBX983062 ILP983062:ILT983062 IVL983062:IVP983062 JFH983062:JFL983062 JPD983062:JPH983062 JYZ983062:JZD983062 KIV983062:KIZ983062 KSR983062:KSV983062 LCN983062:LCR983062 LMJ983062:LMN983062 LWF983062:LWJ983062 MGB983062:MGF983062 MPX983062:MQB983062 MZT983062:MZX983062 NJP983062:NJT983062 NTL983062:NTP983062 ODH983062:ODL983062 OND983062:ONH983062 OWZ983062:OXD983062 PGV983062:PGZ983062 PQR983062:PQV983062 QAN983062:QAR983062 QKJ983062:QKN983062 QUF983062:QUJ983062 REB983062:REF983062 RNX983062:ROB983062 RXT983062:RXX983062 SHP983062:SHT983062 SRL983062:SRP983062 TBH983062:TBL983062 TLD983062:TLH983062 TUZ983062:TVD983062 UEV983062:UEZ983062 UOR983062:UOV983062 UYN983062:UYR983062 VIJ983062:VIN983062 VSF983062:VSJ983062 WCB983062:WCF983062 WLX983062:WMB983062" xr:uid="{5233216A-2EA5-472E-BB00-D514A3A71B41}">
      <formula1>$AI$22:$AI$27</formula1>
    </dataValidation>
    <dataValidation type="list" allowBlank="1" showInputMessage="1" showErrorMessage="1" sqref="WWB983076:WWE983076 JP36:JS36 TL36:TO36 ADH36:ADK36 AND36:ANG36 AWZ36:AXC36 BGV36:BGY36 BQR36:BQU36 CAN36:CAQ36 CKJ36:CKM36 CUF36:CUI36 DEB36:DEE36 DNX36:DOA36 DXT36:DXW36 EHP36:EHS36 ERL36:ERO36 FBH36:FBK36 FLD36:FLG36 FUZ36:FVC36 GEV36:GEY36 GOR36:GOU36 GYN36:GYQ36 HIJ36:HIM36 HSF36:HSI36 ICB36:ICE36 ILX36:IMA36 IVT36:IVW36 JFP36:JFS36 JPL36:JPO36 JZH36:JZK36 KJD36:KJG36 KSZ36:KTC36 LCV36:LCY36 LMR36:LMU36 LWN36:LWQ36 MGJ36:MGM36 MQF36:MQI36 NAB36:NAE36 NJX36:NKA36 NTT36:NTW36 ODP36:ODS36 ONL36:ONO36 OXH36:OXK36 PHD36:PHG36 PQZ36:PRC36 QAV36:QAY36 QKR36:QKU36 QUN36:QUQ36 REJ36:REM36 ROF36:ROI36 RYB36:RYE36 SHX36:SIA36 SRT36:SRW36 TBP36:TBS36 TLL36:TLO36 TVH36:TVK36 UFD36:UFG36 UOZ36:UPC36 UYV36:UYY36 VIR36:VIU36 VSN36:VSQ36 WCJ36:WCM36 WMF36:WMI36 WWB36:WWE36 T65572:W65572 JP65572:JS65572 TL65572:TO65572 ADH65572:ADK65572 AND65572:ANG65572 AWZ65572:AXC65572 BGV65572:BGY65572 BQR65572:BQU65572 CAN65572:CAQ65572 CKJ65572:CKM65572 CUF65572:CUI65572 DEB65572:DEE65572 DNX65572:DOA65572 DXT65572:DXW65572 EHP65572:EHS65572 ERL65572:ERO65572 FBH65572:FBK65572 FLD65572:FLG65572 FUZ65572:FVC65572 GEV65572:GEY65572 GOR65572:GOU65572 GYN65572:GYQ65572 HIJ65572:HIM65572 HSF65572:HSI65572 ICB65572:ICE65572 ILX65572:IMA65572 IVT65572:IVW65572 JFP65572:JFS65572 JPL65572:JPO65572 JZH65572:JZK65572 KJD65572:KJG65572 KSZ65572:KTC65572 LCV65572:LCY65572 LMR65572:LMU65572 LWN65572:LWQ65572 MGJ65572:MGM65572 MQF65572:MQI65572 NAB65572:NAE65572 NJX65572:NKA65572 NTT65572:NTW65572 ODP65572:ODS65572 ONL65572:ONO65572 OXH65572:OXK65572 PHD65572:PHG65572 PQZ65572:PRC65572 QAV65572:QAY65572 QKR65572:QKU65572 QUN65572:QUQ65572 REJ65572:REM65572 ROF65572:ROI65572 RYB65572:RYE65572 SHX65572:SIA65572 SRT65572:SRW65572 TBP65572:TBS65572 TLL65572:TLO65572 TVH65572:TVK65572 UFD65572:UFG65572 UOZ65572:UPC65572 UYV65572:UYY65572 VIR65572:VIU65572 VSN65572:VSQ65572 WCJ65572:WCM65572 WMF65572:WMI65572 WWB65572:WWE65572 T131108:W131108 JP131108:JS131108 TL131108:TO131108 ADH131108:ADK131108 AND131108:ANG131108 AWZ131108:AXC131108 BGV131108:BGY131108 BQR131108:BQU131108 CAN131108:CAQ131108 CKJ131108:CKM131108 CUF131108:CUI131108 DEB131108:DEE131108 DNX131108:DOA131108 DXT131108:DXW131108 EHP131108:EHS131108 ERL131108:ERO131108 FBH131108:FBK131108 FLD131108:FLG131108 FUZ131108:FVC131108 GEV131108:GEY131108 GOR131108:GOU131108 GYN131108:GYQ131108 HIJ131108:HIM131108 HSF131108:HSI131108 ICB131108:ICE131108 ILX131108:IMA131108 IVT131108:IVW131108 JFP131108:JFS131108 JPL131108:JPO131108 JZH131108:JZK131108 KJD131108:KJG131108 KSZ131108:KTC131108 LCV131108:LCY131108 LMR131108:LMU131108 LWN131108:LWQ131108 MGJ131108:MGM131108 MQF131108:MQI131108 NAB131108:NAE131108 NJX131108:NKA131108 NTT131108:NTW131108 ODP131108:ODS131108 ONL131108:ONO131108 OXH131108:OXK131108 PHD131108:PHG131108 PQZ131108:PRC131108 QAV131108:QAY131108 QKR131108:QKU131108 QUN131108:QUQ131108 REJ131108:REM131108 ROF131108:ROI131108 RYB131108:RYE131108 SHX131108:SIA131108 SRT131108:SRW131108 TBP131108:TBS131108 TLL131108:TLO131108 TVH131108:TVK131108 UFD131108:UFG131108 UOZ131108:UPC131108 UYV131108:UYY131108 VIR131108:VIU131108 VSN131108:VSQ131108 WCJ131108:WCM131108 WMF131108:WMI131108 WWB131108:WWE131108 T196644:W196644 JP196644:JS196644 TL196644:TO196644 ADH196644:ADK196644 AND196644:ANG196644 AWZ196644:AXC196644 BGV196644:BGY196644 BQR196644:BQU196644 CAN196644:CAQ196644 CKJ196644:CKM196644 CUF196644:CUI196644 DEB196644:DEE196644 DNX196644:DOA196644 DXT196644:DXW196644 EHP196644:EHS196644 ERL196644:ERO196644 FBH196644:FBK196644 FLD196644:FLG196644 FUZ196644:FVC196644 GEV196644:GEY196644 GOR196644:GOU196644 GYN196644:GYQ196644 HIJ196644:HIM196644 HSF196644:HSI196644 ICB196644:ICE196644 ILX196644:IMA196644 IVT196644:IVW196644 JFP196644:JFS196644 JPL196644:JPO196644 JZH196644:JZK196644 KJD196644:KJG196644 KSZ196644:KTC196644 LCV196644:LCY196644 LMR196644:LMU196644 LWN196644:LWQ196644 MGJ196644:MGM196644 MQF196644:MQI196644 NAB196644:NAE196644 NJX196644:NKA196644 NTT196644:NTW196644 ODP196644:ODS196644 ONL196644:ONO196644 OXH196644:OXK196644 PHD196644:PHG196644 PQZ196644:PRC196644 QAV196644:QAY196644 QKR196644:QKU196644 QUN196644:QUQ196644 REJ196644:REM196644 ROF196644:ROI196644 RYB196644:RYE196644 SHX196644:SIA196644 SRT196644:SRW196644 TBP196644:TBS196644 TLL196644:TLO196644 TVH196644:TVK196644 UFD196644:UFG196644 UOZ196644:UPC196644 UYV196644:UYY196644 VIR196644:VIU196644 VSN196644:VSQ196644 WCJ196644:WCM196644 WMF196644:WMI196644 WWB196644:WWE196644 T262180:W262180 JP262180:JS262180 TL262180:TO262180 ADH262180:ADK262180 AND262180:ANG262180 AWZ262180:AXC262180 BGV262180:BGY262180 BQR262180:BQU262180 CAN262180:CAQ262180 CKJ262180:CKM262180 CUF262180:CUI262180 DEB262180:DEE262180 DNX262180:DOA262180 DXT262180:DXW262180 EHP262180:EHS262180 ERL262180:ERO262180 FBH262180:FBK262180 FLD262180:FLG262180 FUZ262180:FVC262180 GEV262180:GEY262180 GOR262180:GOU262180 GYN262180:GYQ262180 HIJ262180:HIM262180 HSF262180:HSI262180 ICB262180:ICE262180 ILX262180:IMA262180 IVT262180:IVW262180 JFP262180:JFS262180 JPL262180:JPO262180 JZH262180:JZK262180 KJD262180:KJG262180 KSZ262180:KTC262180 LCV262180:LCY262180 LMR262180:LMU262180 LWN262180:LWQ262180 MGJ262180:MGM262180 MQF262180:MQI262180 NAB262180:NAE262180 NJX262180:NKA262180 NTT262180:NTW262180 ODP262180:ODS262180 ONL262180:ONO262180 OXH262180:OXK262180 PHD262180:PHG262180 PQZ262180:PRC262180 QAV262180:QAY262180 QKR262180:QKU262180 QUN262180:QUQ262180 REJ262180:REM262180 ROF262180:ROI262180 RYB262180:RYE262180 SHX262180:SIA262180 SRT262180:SRW262180 TBP262180:TBS262180 TLL262180:TLO262180 TVH262180:TVK262180 UFD262180:UFG262180 UOZ262180:UPC262180 UYV262180:UYY262180 VIR262180:VIU262180 VSN262180:VSQ262180 WCJ262180:WCM262180 WMF262180:WMI262180 WWB262180:WWE262180 T327716:W327716 JP327716:JS327716 TL327716:TO327716 ADH327716:ADK327716 AND327716:ANG327716 AWZ327716:AXC327716 BGV327716:BGY327716 BQR327716:BQU327716 CAN327716:CAQ327716 CKJ327716:CKM327716 CUF327716:CUI327716 DEB327716:DEE327716 DNX327716:DOA327716 DXT327716:DXW327716 EHP327716:EHS327716 ERL327716:ERO327716 FBH327716:FBK327716 FLD327716:FLG327716 FUZ327716:FVC327716 GEV327716:GEY327716 GOR327716:GOU327716 GYN327716:GYQ327716 HIJ327716:HIM327716 HSF327716:HSI327716 ICB327716:ICE327716 ILX327716:IMA327716 IVT327716:IVW327716 JFP327716:JFS327716 JPL327716:JPO327716 JZH327716:JZK327716 KJD327716:KJG327716 KSZ327716:KTC327716 LCV327716:LCY327716 LMR327716:LMU327716 LWN327716:LWQ327716 MGJ327716:MGM327716 MQF327716:MQI327716 NAB327716:NAE327716 NJX327716:NKA327716 NTT327716:NTW327716 ODP327716:ODS327716 ONL327716:ONO327716 OXH327716:OXK327716 PHD327716:PHG327716 PQZ327716:PRC327716 QAV327716:QAY327716 QKR327716:QKU327716 QUN327716:QUQ327716 REJ327716:REM327716 ROF327716:ROI327716 RYB327716:RYE327716 SHX327716:SIA327716 SRT327716:SRW327716 TBP327716:TBS327716 TLL327716:TLO327716 TVH327716:TVK327716 UFD327716:UFG327716 UOZ327716:UPC327716 UYV327716:UYY327716 VIR327716:VIU327716 VSN327716:VSQ327716 WCJ327716:WCM327716 WMF327716:WMI327716 WWB327716:WWE327716 T393252:W393252 JP393252:JS393252 TL393252:TO393252 ADH393252:ADK393252 AND393252:ANG393252 AWZ393252:AXC393252 BGV393252:BGY393252 BQR393252:BQU393252 CAN393252:CAQ393252 CKJ393252:CKM393252 CUF393252:CUI393252 DEB393252:DEE393252 DNX393252:DOA393252 DXT393252:DXW393252 EHP393252:EHS393252 ERL393252:ERO393252 FBH393252:FBK393252 FLD393252:FLG393252 FUZ393252:FVC393252 GEV393252:GEY393252 GOR393252:GOU393252 GYN393252:GYQ393252 HIJ393252:HIM393252 HSF393252:HSI393252 ICB393252:ICE393252 ILX393252:IMA393252 IVT393252:IVW393252 JFP393252:JFS393252 JPL393252:JPO393252 JZH393252:JZK393252 KJD393252:KJG393252 KSZ393252:KTC393252 LCV393252:LCY393252 LMR393252:LMU393252 LWN393252:LWQ393252 MGJ393252:MGM393252 MQF393252:MQI393252 NAB393252:NAE393252 NJX393252:NKA393252 NTT393252:NTW393252 ODP393252:ODS393252 ONL393252:ONO393252 OXH393252:OXK393252 PHD393252:PHG393252 PQZ393252:PRC393252 QAV393252:QAY393252 QKR393252:QKU393252 QUN393252:QUQ393252 REJ393252:REM393252 ROF393252:ROI393252 RYB393252:RYE393252 SHX393252:SIA393252 SRT393252:SRW393252 TBP393252:TBS393252 TLL393252:TLO393252 TVH393252:TVK393252 UFD393252:UFG393252 UOZ393252:UPC393252 UYV393252:UYY393252 VIR393252:VIU393252 VSN393252:VSQ393252 WCJ393252:WCM393252 WMF393252:WMI393252 WWB393252:WWE393252 T458788:W458788 JP458788:JS458788 TL458788:TO458788 ADH458788:ADK458788 AND458788:ANG458788 AWZ458788:AXC458788 BGV458788:BGY458788 BQR458788:BQU458788 CAN458788:CAQ458788 CKJ458788:CKM458788 CUF458788:CUI458788 DEB458788:DEE458788 DNX458788:DOA458788 DXT458788:DXW458788 EHP458788:EHS458788 ERL458788:ERO458788 FBH458788:FBK458788 FLD458788:FLG458788 FUZ458788:FVC458788 GEV458788:GEY458788 GOR458788:GOU458788 GYN458788:GYQ458788 HIJ458788:HIM458788 HSF458788:HSI458788 ICB458788:ICE458788 ILX458788:IMA458788 IVT458788:IVW458788 JFP458788:JFS458788 JPL458788:JPO458788 JZH458788:JZK458788 KJD458788:KJG458788 KSZ458788:KTC458788 LCV458788:LCY458788 LMR458788:LMU458788 LWN458788:LWQ458788 MGJ458788:MGM458788 MQF458788:MQI458788 NAB458788:NAE458788 NJX458788:NKA458788 NTT458788:NTW458788 ODP458788:ODS458788 ONL458788:ONO458788 OXH458788:OXK458788 PHD458788:PHG458788 PQZ458788:PRC458788 QAV458788:QAY458788 QKR458788:QKU458788 QUN458788:QUQ458788 REJ458788:REM458788 ROF458788:ROI458788 RYB458788:RYE458788 SHX458788:SIA458788 SRT458788:SRW458788 TBP458788:TBS458788 TLL458788:TLO458788 TVH458788:TVK458788 UFD458788:UFG458788 UOZ458788:UPC458788 UYV458788:UYY458788 VIR458788:VIU458788 VSN458788:VSQ458788 WCJ458788:WCM458788 WMF458788:WMI458788 WWB458788:WWE458788 T524324:W524324 JP524324:JS524324 TL524324:TO524324 ADH524324:ADK524324 AND524324:ANG524324 AWZ524324:AXC524324 BGV524324:BGY524324 BQR524324:BQU524324 CAN524324:CAQ524324 CKJ524324:CKM524324 CUF524324:CUI524324 DEB524324:DEE524324 DNX524324:DOA524324 DXT524324:DXW524324 EHP524324:EHS524324 ERL524324:ERO524324 FBH524324:FBK524324 FLD524324:FLG524324 FUZ524324:FVC524324 GEV524324:GEY524324 GOR524324:GOU524324 GYN524324:GYQ524324 HIJ524324:HIM524324 HSF524324:HSI524324 ICB524324:ICE524324 ILX524324:IMA524324 IVT524324:IVW524324 JFP524324:JFS524324 JPL524324:JPO524324 JZH524324:JZK524324 KJD524324:KJG524324 KSZ524324:KTC524324 LCV524324:LCY524324 LMR524324:LMU524324 LWN524324:LWQ524324 MGJ524324:MGM524324 MQF524324:MQI524324 NAB524324:NAE524324 NJX524324:NKA524324 NTT524324:NTW524324 ODP524324:ODS524324 ONL524324:ONO524324 OXH524324:OXK524324 PHD524324:PHG524324 PQZ524324:PRC524324 QAV524324:QAY524324 QKR524324:QKU524324 QUN524324:QUQ524324 REJ524324:REM524324 ROF524324:ROI524324 RYB524324:RYE524324 SHX524324:SIA524324 SRT524324:SRW524324 TBP524324:TBS524324 TLL524324:TLO524324 TVH524324:TVK524324 UFD524324:UFG524324 UOZ524324:UPC524324 UYV524324:UYY524324 VIR524324:VIU524324 VSN524324:VSQ524324 WCJ524324:WCM524324 WMF524324:WMI524324 WWB524324:WWE524324 T589860:W589860 JP589860:JS589860 TL589860:TO589860 ADH589860:ADK589860 AND589860:ANG589860 AWZ589860:AXC589860 BGV589860:BGY589860 BQR589860:BQU589860 CAN589860:CAQ589860 CKJ589860:CKM589860 CUF589860:CUI589860 DEB589860:DEE589860 DNX589860:DOA589860 DXT589860:DXW589860 EHP589860:EHS589860 ERL589860:ERO589860 FBH589860:FBK589860 FLD589860:FLG589860 FUZ589860:FVC589860 GEV589860:GEY589860 GOR589860:GOU589860 GYN589860:GYQ589860 HIJ589860:HIM589860 HSF589860:HSI589860 ICB589860:ICE589860 ILX589860:IMA589860 IVT589860:IVW589860 JFP589860:JFS589860 JPL589860:JPO589860 JZH589860:JZK589860 KJD589860:KJG589860 KSZ589860:KTC589860 LCV589860:LCY589860 LMR589860:LMU589860 LWN589860:LWQ589860 MGJ589860:MGM589860 MQF589860:MQI589860 NAB589860:NAE589860 NJX589860:NKA589860 NTT589860:NTW589860 ODP589860:ODS589860 ONL589860:ONO589860 OXH589860:OXK589860 PHD589860:PHG589860 PQZ589860:PRC589860 QAV589860:QAY589860 QKR589860:QKU589860 QUN589860:QUQ589860 REJ589860:REM589860 ROF589860:ROI589860 RYB589860:RYE589860 SHX589860:SIA589860 SRT589860:SRW589860 TBP589860:TBS589860 TLL589860:TLO589860 TVH589860:TVK589860 UFD589860:UFG589860 UOZ589860:UPC589860 UYV589860:UYY589860 VIR589860:VIU589860 VSN589860:VSQ589860 WCJ589860:WCM589860 WMF589860:WMI589860 WWB589860:WWE589860 T655396:W655396 JP655396:JS655396 TL655396:TO655396 ADH655396:ADK655396 AND655396:ANG655396 AWZ655396:AXC655396 BGV655396:BGY655396 BQR655396:BQU655396 CAN655396:CAQ655396 CKJ655396:CKM655396 CUF655396:CUI655396 DEB655396:DEE655396 DNX655396:DOA655396 DXT655396:DXW655396 EHP655396:EHS655396 ERL655396:ERO655396 FBH655396:FBK655396 FLD655396:FLG655396 FUZ655396:FVC655396 GEV655396:GEY655396 GOR655396:GOU655396 GYN655396:GYQ655396 HIJ655396:HIM655396 HSF655396:HSI655396 ICB655396:ICE655396 ILX655396:IMA655396 IVT655396:IVW655396 JFP655396:JFS655396 JPL655396:JPO655396 JZH655396:JZK655396 KJD655396:KJG655396 KSZ655396:KTC655396 LCV655396:LCY655396 LMR655396:LMU655396 LWN655396:LWQ655396 MGJ655396:MGM655396 MQF655396:MQI655396 NAB655396:NAE655396 NJX655396:NKA655396 NTT655396:NTW655396 ODP655396:ODS655396 ONL655396:ONO655396 OXH655396:OXK655396 PHD655396:PHG655396 PQZ655396:PRC655396 QAV655396:QAY655396 QKR655396:QKU655396 QUN655396:QUQ655396 REJ655396:REM655396 ROF655396:ROI655396 RYB655396:RYE655396 SHX655396:SIA655396 SRT655396:SRW655396 TBP655396:TBS655396 TLL655396:TLO655396 TVH655396:TVK655396 UFD655396:UFG655396 UOZ655396:UPC655396 UYV655396:UYY655396 VIR655396:VIU655396 VSN655396:VSQ655396 WCJ655396:WCM655396 WMF655396:WMI655396 WWB655396:WWE655396 T720932:W720932 JP720932:JS720932 TL720932:TO720932 ADH720932:ADK720932 AND720932:ANG720932 AWZ720932:AXC720932 BGV720932:BGY720932 BQR720932:BQU720932 CAN720932:CAQ720932 CKJ720932:CKM720932 CUF720932:CUI720932 DEB720932:DEE720932 DNX720932:DOA720932 DXT720932:DXW720932 EHP720932:EHS720932 ERL720932:ERO720932 FBH720932:FBK720932 FLD720932:FLG720932 FUZ720932:FVC720932 GEV720932:GEY720932 GOR720932:GOU720932 GYN720932:GYQ720932 HIJ720932:HIM720932 HSF720932:HSI720932 ICB720932:ICE720932 ILX720932:IMA720932 IVT720932:IVW720932 JFP720932:JFS720932 JPL720932:JPO720932 JZH720932:JZK720932 KJD720932:KJG720932 KSZ720932:KTC720932 LCV720932:LCY720932 LMR720932:LMU720932 LWN720932:LWQ720932 MGJ720932:MGM720932 MQF720932:MQI720932 NAB720932:NAE720932 NJX720932:NKA720932 NTT720932:NTW720932 ODP720932:ODS720932 ONL720932:ONO720932 OXH720932:OXK720932 PHD720932:PHG720932 PQZ720932:PRC720932 QAV720932:QAY720932 QKR720932:QKU720932 QUN720932:QUQ720932 REJ720932:REM720932 ROF720932:ROI720932 RYB720932:RYE720932 SHX720932:SIA720932 SRT720932:SRW720932 TBP720932:TBS720932 TLL720932:TLO720932 TVH720932:TVK720932 UFD720932:UFG720932 UOZ720932:UPC720932 UYV720932:UYY720932 VIR720932:VIU720932 VSN720932:VSQ720932 WCJ720932:WCM720932 WMF720932:WMI720932 WWB720932:WWE720932 T786468:W786468 JP786468:JS786468 TL786468:TO786468 ADH786468:ADK786468 AND786468:ANG786468 AWZ786468:AXC786468 BGV786468:BGY786468 BQR786468:BQU786468 CAN786468:CAQ786468 CKJ786468:CKM786468 CUF786468:CUI786468 DEB786468:DEE786468 DNX786468:DOA786468 DXT786468:DXW786468 EHP786468:EHS786468 ERL786468:ERO786468 FBH786468:FBK786468 FLD786468:FLG786468 FUZ786468:FVC786468 GEV786468:GEY786468 GOR786468:GOU786468 GYN786468:GYQ786468 HIJ786468:HIM786468 HSF786468:HSI786468 ICB786468:ICE786468 ILX786468:IMA786468 IVT786468:IVW786468 JFP786468:JFS786468 JPL786468:JPO786468 JZH786468:JZK786468 KJD786468:KJG786468 KSZ786468:KTC786468 LCV786468:LCY786468 LMR786468:LMU786468 LWN786468:LWQ786468 MGJ786468:MGM786468 MQF786468:MQI786468 NAB786468:NAE786468 NJX786468:NKA786468 NTT786468:NTW786468 ODP786468:ODS786468 ONL786468:ONO786468 OXH786468:OXK786468 PHD786468:PHG786468 PQZ786468:PRC786468 QAV786468:QAY786468 QKR786468:QKU786468 QUN786468:QUQ786468 REJ786468:REM786468 ROF786468:ROI786468 RYB786468:RYE786468 SHX786468:SIA786468 SRT786468:SRW786468 TBP786468:TBS786468 TLL786468:TLO786468 TVH786468:TVK786468 UFD786468:UFG786468 UOZ786468:UPC786468 UYV786468:UYY786468 VIR786468:VIU786468 VSN786468:VSQ786468 WCJ786468:WCM786468 WMF786468:WMI786468 WWB786468:WWE786468 T852004:W852004 JP852004:JS852004 TL852004:TO852004 ADH852004:ADK852004 AND852004:ANG852004 AWZ852004:AXC852004 BGV852004:BGY852004 BQR852004:BQU852004 CAN852004:CAQ852004 CKJ852004:CKM852004 CUF852004:CUI852004 DEB852004:DEE852004 DNX852004:DOA852004 DXT852004:DXW852004 EHP852004:EHS852004 ERL852004:ERO852004 FBH852004:FBK852004 FLD852004:FLG852004 FUZ852004:FVC852004 GEV852004:GEY852004 GOR852004:GOU852004 GYN852004:GYQ852004 HIJ852004:HIM852004 HSF852004:HSI852004 ICB852004:ICE852004 ILX852004:IMA852004 IVT852004:IVW852004 JFP852004:JFS852004 JPL852004:JPO852004 JZH852004:JZK852004 KJD852004:KJG852004 KSZ852004:KTC852004 LCV852004:LCY852004 LMR852004:LMU852004 LWN852004:LWQ852004 MGJ852004:MGM852004 MQF852004:MQI852004 NAB852004:NAE852004 NJX852004:NKA852004 NTT852004:NTW852004 ODP852004:ODS852004 ONL852004:ONO852004 OXH852004:OXK852004 PHD852004:PHG852004 PQZ852004:PRC852004 QAV852004:QAY852004 QKR852004:QKU852004 QUN852004:QUQ852004 REJ852004:REM852004 ROF852004:ROI852004 RYB852004:RYE852004 SHX852004:SIA852004 SRT852004:SRW852004 TBP852004:TBS852004 TLL852004:TLO852004 TVH852004:TVK852004 UFD852004:UFG852004 UOZ852004:UPC852004 UYV852004:UYY852004 VIR852004:VIU852004 VSN852004:VSQ852004 WCJ852004:WCM852004 WMF852004:WMI852004 WWB852004:WWE852004 T917540:W917540 JP917540:JS917540 TL917540:TO917540 ADH917540:ADK917540 AND917540:ANG917540 AWZ917540:AXC917540 BGV917540:BGY917540 BQR917540:BQU917540 CAN917540:CAQ917540 CKJ917540:CKM917540 CUF917540:CUI917540 DEB917540:DEE917540 DNX917540:DOA917540 DXT917540:DXW917540 EHP917540:EHS917540 ERL917540:ERO917540 FBH917540:FBK917540 FLD917540:FLG917540 FUZ917540:FVC917540 GEV917540:GEY917540 GOR917540:GOU917540 GYN917540:GYQ917540 HIJ917540:HIM917540 HSF917540:HSI917540 ICB917540:ICE917540 ILX917540:IMA917540 IVT917540:IVW917540 JFP917540:JFS917540 JPL917540:JPO917540 JZH917540:JZK917540 KJD917540:KJG917540 KSZ917540:KTC917540 LCV917540:LCY917540 LMR917540:LMU917540 LWN917540:LWQ917540 MGJ917540:MGM917540 MQF917540:MQI917540 NAB917540:NAE917540 NJX917540:NKA917540 NTT917540:NTW917540 ODP917540:ODS917540 ONL917540:ONO917540 OXH917540:OXK917540 PHD917540:PHG917540 PQZ917540:PRC917540 QAV917540:QAY917540 QKR917540:QKU917540 QUN917540:QUQ917540 REJ917540:REM917540 ROF917540:ROI917540 RYB917540:RYE917540 SHX917540:SIA917540 SRT917540:SRW917540 TBP917540:TBS917540 TLL917540:TLO917540 TVH917540:TVK917540 UFD917540:UFG917540 UOZ917540:UPC917540 UYV917540:UYY917540 VIR917540:VIU917540 VSN917540:VSQ917540 WCJ917540:WCM917540 WMF917540:WMI917540 WWB917540:WWE917540 T983076:W983076 JP983076:JS983076 TL983076:TO983076 ADH983076:ADK983076 AND983076:ANG983076 AWZ983076:AXC983076 BGV983076:BGY983076 BQR983076:BQU983076 CAN983076:CAQ983076 CKJ983076:CKM983076 CUF983076:CUI983076 DEB983076:DEE983076 DNX983076:DOA983076 DXT983076:DXW983076 EHP983076:EHS983076 ERL983076:ERO983076 FBH983076:FBK983076 FLD983076:FLG983076 FUZ983076:FVC983076 GEV983076:GEY983076 GOR983076:GOU983076 GYN983076:GYQ983076 HIJ983076:HIM983076 HSF983076:HSI983076 ICB983076:ICE983076 ILX983076:IMA983076 IVT983076:IVW983076 JFP983076:JFS983076 JPL983076:JPO983076 JZH983076:JZK983076 KJD983076:KJG983076 KSZ983076:KTC983076 LCV983076:LCY983076 LMR983076:LMU983076 LWN983076:LWQ983076 MGJ983076:MGM983076 MQF983076:MQI983076 NAB983076:NAE983076 NJX983076:NKA983076 NTT983076:NTW983076 ODP983076:ODS983076 ONL983076:ONO983076 OXH983076:OXK983076 PHD983076:PHG983076 PQZ983076:PRC983076 QAV983076:QAY983076 QKR983076:QKU983076 QUN983076:QUQ983076 REJ983076:REM983076 ROF983076:ROI983076 RYB983076:RYE983076 SHX983076:SIA983076 SRT983076:SRW983076 TBP983076:TBS983076 TLL983076:TLO983076 TVH983076:TVK983076 UFD983076:UFG983076 UOZ983076:UPC983076 UYV983076:UYY983076 VIR983076:VIU983076 VSN983076:VSQ983076 WCJ983076:WCM983076 WMF983076:WMI983076" xr:uid="{0F70D0B5-4D81-4F2F-B6F0-D08627FE554C}">
      <formula1>AQ21:AQ67</formula1>
    </dataValidation>
    <dataValidation type="list" allowBlank="1" showInputMessage="1" sqref="O22:R22" xr:uid="{382F1492-0324-4F8E-A60B-04CEFEAA5AB0}">
      <formula1>"　,建築ＩＰＥＣ,昇降ＩＰＥＣ,工作ＩＰＥＣ,設備ＩＰＥＣ"</formula1>
    </dataValidation>
    <dataValidation type="list" allowBlank="1" showInputMessage="1" sqref="M22:N22" xr:uid="{098A73B5-5CCE-4962-9B49-1F7EA7838467}">
      <formula1>"　 ,確認,確更"</formula1>
    </dataValidation>
  </dataValidations>
  <pageMargins left="0.78740157480314965" right="0.78740157480314965" top="0.59055118110236227" bottom="0.59055118110236227" header="0.51181102362204722" footer="0.51181102362204722"/>
  <pageSetup paperSize="9" orientation="portrait" blackAndWhite="1" r:id="rId1"/>
  <headerFooter alignWithMargins="0">
    <oddFooter xml:space="preserve">&amp;LIPEC-09 選定届.xls&amp;Rｖｅｒ１.2
</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1A7F-B660-46D7-B027-B2140A4B0EBE}">
  <dimension ref="A1:AJ41"/>
  <sheetViews>
    <sheetView view="pageBreakPreview" zoomScaleNormal="100" zoomScaleSheetLayoutView="100" workbookViewId="0">
      <selection activeCell="AG1" sqref="AG1"/>
    </sheetView>
  </sheetViews>
  <sheetFormatPr defaultColWidth="0" defaultRowHeight="20.100000000000001" customHeight="1"/>
  <cols>
    <col min="1" max="1" width="2.625" style="598" customWidth="1"/>
    <col min="2" max="2" width="3" style="598" customWidth="1"/>
    <col min="3" max="3" width="2.625" style="598" customWidth="1"/>
    <col min="4" max="4" width="2.5" style="598" customWidth="1"/>
    <col min="5" max="5" width="2.625" style="598" customWidth="1"/>
    <col min="6" max="6" width="3.125" style="598" customWidth="1"/>
    <col min="7" max="7" width="2.5" style="598" customWidth="1"/>
    <col min="8" max="15" width="2.625" style="598" customWidth="1"/>
    <col min="16" max="16" width="2.875" style="598" customWidth="1"/>
    <col min="17" max="41" width="2.625" style="598" customWidth="1"/>
    <col min="42" max="42" width="0" style="598" hidden="1" customWidth="1"/>
    <col min="43" max="16384" width="0" style="598" hidden="1"/>
  </cols>
  <sheetData>
    <row r="1" spans="1:33" ht="12.75">
      <c r="B1" s="601" t="s">
        <v>3209</v>
      </c>
      <c r="C1" s="601"/>
      <c r="AG1" s="616" t="s">
        <v>3210</v>
      </c>
    </row>
    <row r="3" spans="1:33" ht="14.25">
      <c r="A3" s="1063" t="s">
        <v>3211</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615"/>
    </row>
    <row r="5" spans="1:33" ht="12.75">
      <c r="C5" s="601" t="s">
        <v>3212</v>
      </c>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row>
    <row r="6" spans="1:33" ht="12.75">
      <c r="C6" s="601" t="s">
        <v>3213</v>
      </c>
      <c r="E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row>
    <row r="9" spans="1:33" ht="17.25">
      <c r="C9" s="613" t="s">
        <v>3114</v>
      </c>
      <c r="E9" s="612"/>
      <c r="F9" s="612"/>
      <c r="G9" s="612"/>
      <c r="H9" s="612"/>
      <c r="I9" s="612"/>
      <c r="M9" s="598" t="s">
        <v>3115</v>
      </c>
    </row>
    <row r="11" spans="1:33" ht="12.75">
      <c r="U11" s="668" t="str">
        <f ca="1">TEXT(TODAY(),"ggg")</f>
        <v>令和</v>
      </c>
      <c r="V11" s="668"/>
      <c r="W11" s="1057"/>
      <c r="X11" s="1057"/>
      <c r="Y11" s="668" t="s">
        <v>2822</v>
      </c>
      <c r="Z11" s="1057"/>
      <c r="AA11" s="1057"/>
      <c r="AB11" s="668" t="s">
        <v>2823</v>
      </c>
      <c r="AC11" s="1057"/>
      <c r="AD11" s="1057"/>
      <c r="AE11" s="668" t="s">
        <v>2824</v>
      </c>
    </row>
    <row r="13" spans="1:33" ht="12.75">
      <c r="N13" s="1059" t="s">
        <v>3116</v>
      </c>
      <c r="O13" s="1059"/>
      <c r="P13" s="1059"/>
      <c r="Q13" s="1059"/>
      <c r="R13" s="1059"/>
      <c r="S13" s="1059"/>
      <c r="T13" s="1059"/>
      <c r="U13" s="1059"/>
      <c r="V13" s="1059"/>
      <c r="W13" s="1059"/>
      <c r="X13" s="1059"/>
      <c r="Y13" s="1059"/>
      <c r="Z13" s="1059"/>
      <c r="AA13" s="1059"/>
      <c r="AB13" s="1059"/>
      <c r="AC13" s="1059"/>
      <c r="AD13" s="1059"/>
      <c r="AE13" s="1059"/>
      <c r="AF13" s="1059"/>
    </row>
    <row r="14" spans="1:33" ht="12.75">
      <c r="F14" s="600"/>
      <c r="G14" s="600"/>
      <c r="H14" s="600"/>
      <c r="I14" s="600"/>
      <c r="J14" s="600"/>
      <c r="K14" s="600"/>
      <c r="L14" s="600"/>
      <c r="M14" s="600"/>
      <c r="N14" s="1070" t="str">
        <f>cst_wskakunin_owner1_NAME</f>
        <v>猫山　花子</v>
      </c>
      <c r="O14" s="1070"/>
      <c r="P14" s="1070"/>
      <c r="Q14" s="1070"/>
      <c r="R14" s="1070"/>
      <c r="S14" s="1070"/>
      <c r="T14" s="1070"/>
      <c r="U14" s="1070"/>
      <c r="V14" s="1070"/>
      <c r="W14" s="1070"/>
      <c r="X14" s="1070"/>
      <c r="Y14" s="1070"/>
      <c r="Z14" s="1070"/>
      <c r="AA14" s="1070"/>
      <c r="AB14" s="1070"/>
      <c r="AC14" s="1070"/>
      <c r="AD14" s="1070"/>
      <c r="AE14" s="1070"/>
      <c r="AF14" s="601"/>
    </row>
    <row r="15" spans="1:33" ht="12.75">
      <c r="N15" s="1070"/>
      <c r="O15" s="1070"/>
      <c r="P15" s="1070"/>
      <c r="Q15" s="1070"/>
      <c r="R15" s="1070"/>
      <c r="S15" s="1070"/>
      <c r="T15" s="1070"/>
      <c r="U15" s="1070"/>
      <c r="V15" s="1070"/>
      <c r="W15" s="1070"/>
      <c r="X15" s="1070"/>
      <c r="Y15" s="1070"/>
      <c r="Z15" s="1070"/>
      <c r="AA15" s="1070"/>
      <c r="AB15" s="1070"/>
      <c r="AC15" s="1070"/>
      <c r="AD15" s="1070"/>
      <c r="AE15" s="1070"/>
      <c r="AF15" s="601"/>
    </row>
    <row r="16" spans="1:33" ht="12.75">
      <c r="N16" s="598" t="s">
        <v>3117</v>
      </c>
    </row>
    <row r="17" spans="1:36" ht="12.75">
      <c r="N17" s="1064" t="str">
        <f>cst_wskakunin_owner1__address</f>
        <v>大阪府茨木市山手台2-2-2</v>
      </c>
      <c r="O17" s="1064"/>
      <c r="P17" s="1064"/>
      <c r="Q17" s="1064"/>
      <c r="R17" s="1064"/>
      <c r="S17" s="1064"/>
      <c r="T17" s="1064"/>
      <c r="U17" s="1064"/>
      <c r="V17" s="1064"/>
      <c r="W17" s="1064"/>
      <c r="X17" s="1064"/>
      <c r="Y17" s="1064"/>
      <c r="Z17" s="1064"/>
      <c r="AA17" s="1064"/>
      <c r="AB17" s="1064"/>
      <c r="AC17" s="1064"/>
      <c r="AD17" s="1064"/>
      <c r="AE17" s="1064"/>
    </row>
    <row r="18" spans="1:36" ht="12.75">
      <c r="A18" s="611"/>
      <c r="B18" s="611"/>
      <c r="C18" s="611"/>
      <c r="D18" s="611"/>
      <c r="E18" s="611"/>
      <c r="F18" s="610"/>
      <c r="G18" s="610"/>
      <c r="H18" s="610"/>
      <c r="I18" s="610"/>
      <c r="J18" s="610"/>
      <c r="K18" s="610"/>
      <c r="L18" s="610"/>
      <c r="M18" s="610"/>
      <c r="N18" s="1065"/>
      <c r="O18" s="1065"/>
      <c r="P18" s="1065"/>
      <c r="Q18" s="1065"/>
      <c r="R18" s="1065"/>
      <c r="S18" s="1065"/>
      <c r="T18" s="1065"/>
      <c r="U18" s="1065"/>
      <c r="V18" s="1065"/>
      <c r="W18" s="1065"/>
      <c r="X18" s="1065"/>
      <c r="Y18" s="1065"/>
      <c r="Z18" s="1065"/>
      <c r="AA18" s="1065"/>
      <c r="AB18" s="1065"/>
      <c r="AC18" s="1065"/>
      <c r="AD18" s="1065"/>
      <c r="AE18" s="1065"/>
      <c r="AF18" s="610"/>
    </row>
    <row r="19" spans="1:36" ht="15" customHeight="1">
      <c r="A19" s="609"/>
      <c r="B19" s="609"/>
      <c r="C19" s="609"/>
      <c r="D19" s="609"/>
      <c r="E19" s="609"/>
      <c r="F19" s="607"/>
      <c r="G19" s="607"/>
      <c r="H19" s="607"/>
      <c r="I19" s="607"/>
      <c r="J19" s="607"/>
      <c r="K19" s="607"/>
      <c r="L19" s="607"/>
      <c r="M19" s="607"/>
      <c r="N19" s="608"/>
      <c r="O19" s="608"/>
      <c r="P19" s="608"/>
      <c r="Q19" s="608"/>
      <c r="R19" s="608"/>
      <c r="S19" s="608"/>
      <c r="T19" s="608"/>
      <c r="U19" s="608"/>
      <c r="V19" s="608"/>
      <c r="W19" s="608"/>
      <c r="X19" s="608"/>
      <c r="Y19" s="608"/>
      <c r="Z19" s="608"/>
      <c r="AA19" s="608"/>
      <c r="AB19" s="608"/>
      <c r="AC19" s="608"/>
      <c r="AD19" s="608"/>
      <c r="AE19" s="608"/>
      <c r="AF19" s="607"/>
    </row>
    <row r="20" spans="1:36" ht="15" customHeight="1">
      <c r="A20" s="1062" t="s">
        <v>3118</v>
      </c>
      <c r="B20" s="1062"/>
      <c r="C20" s="1062"/>
      <c r="D20" s="1062"/>
      <c r="E20" s="1062"/>
      <c r="F20" s="1062"/>
      <c r="G20" s="1062"/>
      <c r="H20" s="1062"/>
      <c r="I20" s="1062"/>
      <c r="J20" s="1062"/>
      <c r="K20" s="1062"/>
      <c r="L20" s="1062"/>
      <c r="M20" s="1062"/>
      <c r="N20" s="1062"/>
      <c r="O20" s="1062"/>
      <c r="P20" s="1062"/>
      <c r="Q20" s="1062"/>
      <c r="R20" s="1062"/>
      <c r="S20" s="1062"/>
      <c r="T20" s="1062"/>
      <c r="U20" s="1062"/>
      <c r="V20" s="1062"/>
      <c r="W20" s="1062"/>
      <c r="X20" s="1062"/>
      <c r="Y20" s="1062"/>
      <c r="Z20" s="1062"/>
      <c r="AA20" s="1062"/>
      <c r="AB20" s="1062"/>
      <c r="AC20" s="1062"/>
      <c r="AD20" s="1062"/>
      <c r="AE20" s="1062"/>
      <c r="AF20" s="1062"/>
    </row>
    <row r="21" spans="1:36" ht="15" customHeight="1"/>
    <row r="22" spans="1:36" ht="12.75">
      <c r="B22" s="604"/>
      <c r="C22" s="604" t="s">
        <v>3214</v>
      </c>
      <c r="D22" s="598" t="s">
        <v>3120</v>
      </c>
    </row>
    <row r="23" spans="1:36" ht="12.75">
      <c r="B23" s="604"/>
      <c r="C23" s="604"/>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row>
    <row r="24" spans="1:36" ht="13.5">
      <c r="B24" s="604"/>
      <c r="C24" s="604" t="s">
        <v>3215</v>
      </c>
      <c r="D24" s="1058" t="s">
        <v>3216</v>
      </c>
      <c r="E24" s="1058"/>
      <c r="F24" s="1058"/>
      <c r="G24" s="1058"/>
      <c r="H24" s="1058"/>
      <c r="I24" s="1058"/>
      <c r="L24" s="606" t="str">
        <f ca="1">IF(cst_shinsei_ACCEPT_DATE="",TEXT(TODAY(),"ggg"),TEXT(cst_shinsei_ACCEPT_DATE,"ggg"))</f>
        <v>令和</v>
      </c>
      <c r="M24" s="606"/>
      <c r="N24" s="1067"/>
      <c r="O24" s="1067"/>
      <c r="P24" s="606" t="s">
        <v>2822</v>
      </c>
      <c r="Q24" s="1068"/>
      <c r="R24" s="1068"/>
      <c r="S24" s="606" t="s">
        <v>2823</v>
      </c>
      <c r="T24" s="1069"/>
      <c r="U24" s="1069"/>
      <c r="V24" s="606" t="s">
        <v>2824</v>
      </c>
    </row>
    <row r="25" spans="1:36" ht="12.75">
      <c r="B25" s="604"/>
      <c r="C25" s="604" t="s">
        <v>3217</v>
      </c>
      <c r="D25" s="1058" t="s">
        <v>3218</v>
      </c>
      <c r="E25" s="1058"/>
      <c r="F25" s="1058"/>
      <c r="G25" s="1058"/>
      <c r="H25" s="1058"/>
      <c r="I25" s="1058"/>
      <c r="L25" s="1061" t="s">
        <v>2982</v>
      </c>
      <c r="M25" s="1061"/>
      <c r="N25" s="1060"/>
      <c r="O25" s="1060"/>
      <c r="P25" s="1060"/>
      <c r="Q25" s="1060"/>
      <c r="R25" s="1060"/>
      <c r="S25" s="1060"/>
      <c r="T25" s="1060"/>
      <c r="U25" s="1060"/>
      <c r="V25" s="605" t="s">
        <v>2762</v>
      </c>
      <c r="W25" s="605"/>
      <c r="X25" s="605"/>
    </row>
    <row r="26" spans="1:36" ht="12.75">
      <c r="B26" s="604"/>
      <c r="C26" s="604" t="s">
        <v>3219</v>
      </c>
      <c r="D26" s="1058" t="s">
        <v>3220</v>
      </c>
      <c r="E26" s="1058"/>
      <c r="F26" s="1058"/>
      <c r="G26" s="1058"/>
      <c r="H26" s="1058"/>
      <c r="I26" s="1058"/>
      <c r="K26" s="603"/>
      <c r="L26" s="603"/>
      <c r="M26" s="603"/>
      <c r="N26" s="603"/>
      <c r="O26" s="603"/>
      <c r="P26" s="603"/>
      <c r="Q26" s="603"/>
    </row>
    <row r="27" spans="1:36" ht="12.75">
      <c r="B27" s="604"/>
      <c r="C27" s="604"/>
      <c r="F27" s="672" t="s">
        <v>2745</v>
      </c>
      <c r="G27" s="598" t="s">
        <v>3221</v>
      </c>
      <c r="K27" s="603"/>
      <c r="L27" s="603"/>
      <c r="M27" s="603"/>
      <c r="N27" s="603"/>
      <c r="O27" s="603"/>
      <c r="P27" s="603"/>
      <c r="Q27" s="603"/>
    </row>
    <row r="28" spans="1:36" ht="12.75">
      <c r="B28" s="604"/>
      <c r="C28" s="604"/>
      <c r="F28" s="672" t="s">
        <v>2745</v>
      </c>
      <c r="G28" s="598" t="s">
        <v>3222</v>
      </c>
      <c r="K28" s="603"/>
      <c r="L28" s="603"/>
      <c r="M28" s="603"/>
      <c r="N28" s="603"/>
      <c r="O28" s="603"/>
      <c r="P28" s="603"/>
      <c r="Q28" s="603"/>
      <c r="AJ28" s="598" t="s">
        <v>2745</v>
      </c>
    </row>
    <row r="29" spans="1:36" ht="12.75">
      <c r="B29" s="604"/>
      <c r="C29" s="604"/>
      <c r="F29" s="672" t="s">
        <v>2745</v>
      </c>
      <c r="G29" s="598" t="s">
        <v>3223</v>
      </c>
      <c r="K29" s="603"/>
      <c r="L29" s="603"/>
      <c r="M29" s="603"/>
      <c r="N29" s="603"/>
      <c r="O29" s="603"/>
      <c r="P29" s="603"/>
      <c r="Q29" s="603"/>
      <c r="AJ29" s="598" t="s">
        <v>2753</v>
      </c>
    </row>
    <row r="30" spans="1:36" ht="12.75">
      <c r="B30" s="604"/>
      <c r="C30" s="604" t="s">
        <v>3224</v>
      </c>
      <c r="D30" s="598" t="s">
        <v>3225</v>
      </c>
      <c r="K30" s="603"/>
      <c r="L30" s="603"/>
      <c r="M30" s="603"/>
      <c r="N30" s="603"/>
      <c r="O30" s="603"/>
      <c r="P30" s="603"/>
      <c r="Q30" s="603"/>
    </row>
    <row r="31" spans="1:36" ht="12.75">
      <c r="B31" s="604"/>
      <c r="C31" s="604"/>
      <c r="F31" s="672" t="s">
        <v>2745</v>
      </c>
      <c r="G31" s="598" t="s">
        <v>67</v>
      </c>
      <c r="K31" s="603"/>
      <c r="L31" s="603"/>
      <c r="M31" s="603"/>
      <c r="N31" s="603"/>
      <c r="O31" s="603"/>
      <c r="P31" s="603"/>
      <c r="Q31" s="603"/>
    </row>
    <row r="32" spans="1:36" ht="12.75">
      <c r="B32" s="604"/>
      <c r="C32" s="604"/>
      <c r="F32" s="672" t="s">
        <v>2745</v>
      </c>
      <c r="G32" s="598" t="s">
        <v>78</v>
      </c>
      <c r="K32" s="603"/>
      <c r="L32" s="603"/>
      <c r="M32" s="603"/>
      <c r="N32" s="603"/>
      <c r="O32" s="603"/>
      <c r="P32" s="603"/>
      <c r="Q32" s="603"/>
    </row>
    <row r="33" spans="2:33" ht="12.75">
      <c r="B33" s="604"/>
      <c r="C33" s="604"/>
      <c r="F33" s="672" t="s">
        <v>2745</v>
      </c>
      <c r="G33" s="598" t="s">
        <v>80</v>
      </c>
      <c r="K33" s="603"/>
      <c r="L33" s="603"/>
      <c r="M33" s="603"/>
      <c r="N33" s="603"/>
      <c r="O33" s="603"/>
      <c r="P33" s="603"/>
      <c r="Q33" s="603"/>
    </row>
    <row r="34" spans="2:33" ht="12.75">
      <c r="B34" s="604"/>
      <c r="C34" s="604"/>
      <c r="F34" s="672" t="s">
        <v>2745</v>
      </c>
      <c r="G34" s="598" t="s">
        <v>3226</v>
      </c>
      <c r="K34" s="603"/>
      <c r="L34" s="603"/>
      <c r="M34" s="603"/>
      <c r="N34" s="603"/>
      <c r="O34" s="603"/>
      <c r="P34" s="603"/>
      <c r="Q34" s="603"/>
    </row>
    <row r="35" spans="2:33" ht="12.75">
      <c r="B35" s="604"/>
      <c r="C35" s="604"/>
      <c r="K35" s="603"/>
      <c r="L35" s="603"/>
      <c r="M35" s="603"/>
      <c r="N35" s="603"/>
      <c r="O35" s="603"/>
      <c r="P35" s="603"/>
      <c r="Q35" s="603"/>
    </row>
    <row r="36" spans="2:33" ht="12.75">
      <c r="B36" s="604"/>
      <c r="C36" s="604" t="s">
        <v>3227</v>
      </c>
      <c r="D36" s="598" t="s">
        <v>3228</v>
      </c>
      <c r="K36" s="603"/>
      <c r="L36" s="603"/>
      <c r="M36" s="603"/>
      <c r="N36" s="603"/>
      <c r="O36" s="603"/>
      <c r="P36" s="603"/>
      <c r="Q36" s="603"/>
    </row>
    <row r="37" spans="2:33" ht="12.75">
      <c r="B37" s="604"/>
      <c r="C37" s="604"/>
      <c r="D37" s="673"/>
      <c r="E37" s="673"/>
      <c r="F37" s="673"/>
      <c r="G37" s="673"/>
      <c r="H37" s="673"/>
      <c r="I37" s="673"/>
      <c r="J37" s="673"/>
      <c r="K37" s="674"/>
      <c r="L37" s="674"/>
      <c r="M37" s="674"/>
      <c r="N37" s="674"/>
      <c r="O37" s="674"/>
      <c r="P37" s="674"/>
      <c r="Q37" s="674"/>
      <c r="R37" s="673"/>
      <c r="S37" s="673"/>
      <c r="T37" s="673"/>
      <c r="U37" s="673"/>
      <c r="V37" s="673"/>
      <c r="W37" s="673"/>
      <c r="X37" s="673"/>
      <c r="Y37" s="673"/>
      <c r="Z37" s="673"/>
      <c r="AA37" s="673"/>
      <c r="AB37" s="673"/>
      <c r="AC37" s="673"/>
      <c r="AD37" s="673"/>
      <c r="AE37" s="673"/>
    </row>
    <row r="38" spans="2:33" ht="12.75">
      <c r="B38" s="604"/>
      <c r="C38" s="604"/>
      <c r="D38" s="673"/>
      <c r="E38" s="673"/>
      <c r="F38" s="673"/>
      <c r="G38" s="673"/>
      <c r="H38" s="673"/>
      <c r="I38" s="673"/>
      <c r="J38" s="673"/>
      <c r="K38" s="674"/>
      <c r="L38" s="674"/>
      <c r="M38" s="674"/>
      <c r="N38" s="674"/>
      <c r="O38" s="674"/>
      <c r="P38" s="674"/>
      <c r="Q38" s="674"/>
      <c r="R38" s="673"/>
      <c r="S38" s="673"/>
      <c r="T38" s="673"/>
      <c r="U38" s="673"/>
      <c r="V38" s="673"/>
      <c r="W38" s="673"/>
      <c r="X38" s="673"/>
      <c r="Y38" s="673"/>
      <c r="Z38" s="673"/>
      <c r="AA38" s="673"/>
      <c r="AB38" s="673"/>
      <c r="AC38" s="673"/>
      <c r="AD38" s="673"/>
      <c r="AE38" s="673"/>
    </row>
    <row r="39" spans="2:33" ht="12.75">
      <c r="B39" s="604"/>
      <c r="C39" s="604"/>
      <c r="K39" s="603"/>
      <c r="L39" s="603"/>
      <c r="M39" s="603"/>
      <c r="N39" s="603"/>
      <c r="O39" s="603"/>
      <c r="P39" s="603"/>
      <c r="Q39" s="603"/>
      <c r="AA39" s="599"/>
      <c r="AB39" s="599"/>
      <c r="AD39" s="599"/>
      <c r="AE39" s="599"/>
      <c r="AF39" s="599"/>
      <c r="AG39" s="599"/>
    </row>
    <row r="40" spans="2:33" ht="12.75">
      <c r="B40" s="602"/>
      <c r="C40" s="602" t="s">
        <v>3104</v>
      </c>
      <c r="D40" s="601">
        <v>1</v>
      </c>
      <c r="E40" s="598" t="s">
        <v>3229</v>
      </c>
    </row>
    <row r="41" spans="2:33" ht="12.75">
      <c r="D41" s="601">
        <v>2</v>
      </c>
      <c r="E41" s="598" t="s">
        <v>3230</v>
      </c>
      <c r="H41" s="600" t="s">
        <v>2745</v>
      </c>
      <c r="I41" s="598" t="s">
        <v>3231</v>
      </c>
      <c r="K41" s="598" t="s">
        <v>3232</v>
      </c>
      <c r="V41" s="599"/>
      <c r="W41" s="599"/>
      <c r="X41" s="599"/>
      <c r="Y41" s="599"/>
      <c r="Z41" s="599"/>
    </row>
  </sheetData>
  <mergeCells count="17">
    <mergeCell ref="A3:AF3"/>
    <mergeCell ref="D25:I25"/>
    <mergeCell ref="N17:AE18"/>
    <mergeCell ref="AC11:AD11"/>
    <mergeCell ref="D23:AE23"/>
    <mergeCell ref="N24:O24"/>
    <mergeCell ref="Q24:R24"/>
    <mergeCell ref="T24:U24"/>
    <mergeCell ref="N14:AE15"/>
    <mergeCell ref="D26:I26"/>
    <mergeCell ref="N13:AF13"/>
    <mergeCell ref="W11:X11"/>
    <mergeCell ref="Z11:AA11"/>
    <mergeCell ref="N25:U25"/>
    <mergeCell ref="L25:M25"/>
    <mergeCell ref="D24:I24"/>
    <mergeCell ref="A20:AF20"/>
  </mergeCells>
  <phoneticPr fontId="7"/>
  <dataValidations count="2">
    <dataValidation imeMode="hiragana" allowBlank="1" showInputMessage="1" showErrorMessage="1" sqref="F39:AB39 JB39:JX39 SX39:TT39 ACT39:ADP39 AMP39:ANL39 AWL39:AXH39 BGH39:BHD39 BQD39:BQZ39 BZZ39:CAV39 CJV39:CKR39 CTR39:CUN39 DDN39:DEJ39 DNJ39:DOF39 DXF39:DYB39 EHB39:EHX39 EQX39:ERT39 FAT39:FBP39 FKP39:FLL39 FUL39:FVH39 GEH39:GFD39 GOD39:GOZ39 GXZ39:GYV39 HHV39:HIR39 HRR39:HSN39 IBN39:ICJ39 ILJ39:IMF39 IVF39:IWB39 JFB39:JFX39 JOX39:JPT39 JYT39:JZP39 KIP39:KJL39 KSL39:KTH39 LCH39:LDD39 LMD39:LMZ39 LVZ39:LWV39 MFV39:MGR39 MPR39:MQN39 MZN39:NAJ39 NJJ39:NKF39 NTF39:NUB39 ODB39:ODX39 OMX39:ONT39 OWT39:OXP39 PGP39:PHL39 PQL39:PRH39 QAH39:QBD39 QKD39:QKZ39 QTZ39:QUV39 RDV39:RER39 RNR39:RON39 RXN39:RYJ39 SHJ39:SIF39 SRF39:SSB39 TBB39:TBX39 TKX39:TLT39 TUT39:TVP39 UEP39:UFL39 UOL39:UPH39 UYH39:UZD39 VID39:VIZ39 VRZ39:VSV39 WBV39:WCR39 WLR39:WMN39 WVN39:WWJ39 F65574:AB65574 JB65574:JX65574 SX65574:TT65574 ACT65574:ADP65574 AMP65574:ANL65574 AWL65574:AXH65574 BGH65574:BHD65574 BQD65574:BQZ65574 BZZ65574:CAV65574 CJV65574:CKR65574 CTR65574:CUN65574 DDN65574:DEJ65574 DNJ65574:DOF65574 DXF65574:DYB65574 EHB65574:EHX65574 EQX65574:ERT65574 FAT65574:FBP65574 FKP65574:FLL65574 FUL65574:FVH65574 GEH65574:GFD65574 GOD65574:GOZ65574 GXZ65574:GYV65574 HHV65574:HIR65574 HRR65574:HSN65574 IBN65574:ICJ65574 ILJ65574:IMF65574 IVF65574:IWB65574 JFB65574:JFX65574 JOX65574:JPT65574 JYT65574:JZP65574 KIP65574:KJL65574 KSL65574:KTH65574 LCH65574:LDD65574 LMD65574:LMZ65574 LVZ65574:LWV65574 MFV65574:MGR65574 MPR65574:MQN65574 MZN65574:NAJ65574 NJJ65574:NKF65574 NTF65574:NUB65574 ODB65574:ODX65574 OMX65574:ONT65574 OWT65574:OXP65574 PGP65574:PHL65574 PQL65574:PRH65574 QAH65574:QBD65574 QKD65574:QKZ65574 QTZ65574:QUV65574 RDV65574:RER65574 RNR65574:RON65574 RXN65574:RYJ65574 SHJ65574:SIF65574 SRF65574:SSB65574 TBB65574:TBX65574 TKX65574:TLT65574 TUT65574:TVP65574 UEP65574:UFL65574 UOL65574:UPH65574 UYH65574:UZD65574 VID65574:VIZ65574 VRZ65574:VSV65574 WBV65574:WCR65574 WLR65574:WMN65574 WVN65574:WWJ65574 F131110:AB131110 JB131110:JX131110 SX131110:TT131110 ACT131110:ADP131110 AMP131110:ANL131110 AWL131110:AXH131110 BGH131110:BHD131110 BQD131110:BQZ131110 BZZ131110:CAV131110 CJV131110:CKR131110 CTR131110:CUN131110 DDN131110:DEJ131110 DNJ131110:DOF131110 DXF131110:DYB131110 EHB131110:EHX131110 EQX131110:ERT131110 FAT131110:FBP131110 FKP131110:FLL131110 FUL131110:FVH131110 GEH131110:GFD131110 GOD131110:GOZ131110 GXZ131110:GYV131110 HHV131110:HIR131110 HRR131110:HSN131110 IBN131110:ICJ131110 ILJ131110:IMF131110 IVF131110:IWB131110 JFB131110:JFX131110 JOX131110:JPT131110 JYT131110:JZP131110 KIP131110:KJL131110 KSL131110:KTH131110 LCH131110:LDD131110 LMD131110:LMZ131110 LVZ131110:LWV131110 MFV131110:MGR131110 MPR131110:MQN131110 MZN131110:NAJ131110 NJJ131110:NKF131110 NTF131110:NUB131110 ODB131110:ODX131110 OMX131110:ONT131110 OWT131110:OXP131110 PGP131110:PHL131110 PQL131110:PRH131110 QAH131110:QBD131110 QKD131110:QKZ131110 QTZ131110:QUV131110 RDV131110:RER131110 RNR131110:RON131110 RXN131110:RYJ131110 SHJ131110:SIF131110 SRF131110:SSB131110 TBB131110:TBX131110 TKX131110:TLT131110 TUT131110:TVP131110 UEP131110:UFL131110 UOL131110:UPH131110 UYH131110:UZD131110 VID131110:VIZ131110 VRZ131110:VSV131110 WBV131110:WCR131110 WLR131110:WMN131110 WVN131110:WWJ131110 F196646:AB196646 JB196646:JX196646 SX196646:TT196646 ACT196646:ADP196646 AMP196646:ANL196646 AWL196646:AXH196646 BGH196646:BHD196646 BQD196646:BQZ196646 BZZ196646:CAV196646 CJV196646:CKR196646 CTR196646:CUN196646 DDN196646:DEJ196646 DNJ196646:DOF196646 DXF196646:DYB196646 EHB196646:EHX196646 EQX196646:ERT196646 FAT196646:FBP196646 FKP196646:FLL196646 FUL196646:FVH196646 GEH196646:GFD196646 GOD196646:GOZ196646 GXZ196646:GYV196646 HHV196646:HIR196646 HRR196646:HSN196646 IBN196646:ICJ196646 ILJ196646:IMF196646 IVF196646:IWB196646 JFB196646:JFX196646 JOX196646:JPT196646 JYT196646:JZP196646 KIP196646:KJL196646 KSL196646:KTH196646 LCH196646:LDD196646 LMD196646:LMZ196646 LVZ196646:LWV196646 MFV196646:MGR196646 MPR196646:MQN196646 MZN196646:NAJ196646 NJJ196646:NKF196646 NTF196646:NUB196646 ODB196646:ODX196646 OMX196646:ONT196646 OWT196646:OXP196646 PGP196646:PHL196646 PQL196646:PRH196646 QAH196646:QBD196646 QKD196646:QKZ196646 QTZ196646:QUV196646 RDV196646:RER196646 RNR196646:RON196646 RXN196646:RYJ196646 SHJ196646:SIF196646 SRF196646:SSB196646 TBB196646:TBX196646 TKX196646:TLT196646 TUT196646:TVP196646 UEP196646:UFL196646 UOL196646:UPH196646 UYH196646:UZD196646 VID196646:VIZ196646 VRZ196646:VSV196646 WBV196646:WCR196646 WLR196646:WMN196646 WVN196646:WWJ196646 F262182:AB262182 JB262182:JX262182 SX262182:TT262182 ACT262182:ADP262182 AMP262182:ANL262182 AWL262182:AXH262182 BGH262182:BHD262182 BQD262182:BQZ262182 BZZ262182:CAV262182 CJV262182:CKR262182 CTR262182:CUN262182 DDN262182:DEJ262182 DNJ262182:DOF262182 DXF262182:DYB262182 EHB262182:EHX262182 EQX262182:ERT262182 FAT262182:FBP262182 FKP262182:FLL262182 FUL262182:FVH262182 GEH262182:GFD262182 GOD262182:GOZ262182 GXZ262182:GYV262182 HHV262182:HIR262182 HRR262182:HSN262182 IBN262182:ICJ262182 ILJ262182:IMF262182 IVF262182:IWB262182 JFB262182:JFX262182 JOX262182:JPT262182 JYT262182:JZP262182 KIP262182:KJL262182 KSL262182:KTH262182 LCH262182:LDD262182 LMD262182:LMZ262182 LVZ262182:LWV262182 MFV262182:MGR262182 MPR262182:MQN262182 MZN262182:NAJ262182 NJJ262182:NKF262182 NTF262182:NUB262182 ODB262182:ODX262182 OMX262182:ONT262182 OWT262182:OXP262182 PGP262182:PHL262182 PQL262182:PRH262182 QAH262182:QBD262182 QKD262182:QKZ262182 QTZ262182:QUV262182 RDV262182:RER262182 RNR262182:RON262182 RXN262182:RYJ262182 SHJ262182:SIF262182 SRF262182:SSB262182 TBB262182:TBX262182 TKX262182:TLT262182 TUT262182:TVP262182 UEP262182:UFL262182 UOL262182:UPH262182 UYH262182:UZD262182 VID262182:VIZ262182 VRZ262182:VSV262182 WBV262182:WCR262182 WLR262182:WMN262182 WVN262182:WWJ262182 F327718:AB327718 JB327718:JX327718 SX327718:TT327718 ACT327718:ADP327718 AMP327718:ANL327718 AWL327718:AXH327718 BGH327718:BHD327718 BQD327718:BQZ327718 BZZ327718:CAV327718 CJV327718:CKR327718 CTR327718:CUN327718 DDN327718:DEJ327718 DNJ327718:DOF327718 DXF327718:DYB327718 EHB327718:EHX327718 EQX327718:ERT327718 FAT327718:FBP327718 FKP327718:FLL327718 FUL327718:FVH327718 GEH327718:GFD327718 GOD327718:GOZ327718 GXZ327718:GYV327718 HHV327718:HIR327718 HRR327718:HSN327718 IBN327718:ICJ327718 ILJ327718:IMF327718 IVF327718:IWB327718 JFB327718:JFX327718 JOX327718:JPT327718 JYT327718:JZP327718 KIP327718:KJL327718 KSL327718:KTH327718 LCH327718:LDD327718 LMD327718:LMZ327718 LVZ327718:LWV327718 MFV327718:MGR327718 MPR327718:MQN327718 MZN327718:NAJ327718 NJJ327718:NKF327718 NTF327718:NUB327718 ODB327718:ODX327718 OMX327718:ONT327718 OWT327718:OXP327718 PGP327718:PHL327718 PQL327718:PRH327718 QAH327718:QBD327718 QKD327718:QKZ327718 QTZ327718:QUV327718 RDV327718:RER327718 RNR327718:RON327718 RXN327718:RYJ327718 SHJ327718:SIF327718 SRF327718:SSB327718 TBB327718:TBX327718 TKX327718:TLT327718 TUT327718:TVP327718 UEP327718:UFL327718 UOL327718:UPH327718 UYH327718:UZD327718 VID327718:VIZ327718 VRZ327718:VSV327718 WBV327718:WCR327718 WLR327718:WMN327718 WVN327718:WWJ327718 F393254:AB393254 JB393254:JX393254 SX393254:TT393254 ACT393254:ADP393254 AMP393254:ANL393254 AWL393254:AXH393254 BGH393254:BHD393254 BQD393254:BQZ393254 BZZ393254:CAV393254 CJV393254:CKR393254 CTR393254:CUN393254 DDN393254:DEJ393254 DNJ393254:DOF393254 DXF393254:DYB393254 EHB393254:EHX393254 EQX393254:ERT393254 FAT393254:FBP393254 FKP393254:FLL393254 FUL393254:FVH393254 GEH393254:GFD393254 GOD393254:GOZ393254 GXZ393254:GYV393254 HHV393254:HIR393254 HRR393254:HSN393254 IBN393254:ICJ393254 ILJ393254:IMF393254 IVF393254:IWB393254 JFB393254:JFX393254 JOX393254:JPT393254 JYT393254:JZP393254 KIP393254:KJL393254 KSL393254:KTH393254 LCH393254:LDD393254 LMD393254:LMZ393254 LVZ393254:LWV393254 MFV393254:MGR393254 MPR393254:MQN393254 MZN393254:NAJ393254 NJJ393254:NKF393254 NTF393254:NUB393254 ODB393254:ODX393254 OMX393254:ONT393254 OWT393254:OXP393254 PGP393254:PHL393254 PQL393254:PRH393254 QAH393254:QBD393254 QKD393254:QKZ393254 QTZ393254:QUV393254 RDV393254:RER393254 RNR393254:RON393254 RXN393254:RYJ393254 SHJ393254:SIF393254 SRF393254:SSB393254 TBB393254:TBX393254 TKX393254:TLT393254 TUT393254:TVP393254 UEP393254:UFL393254 UOL393254:UPH393254 UYH393254:UZD393254 VID393254:VIZ393254 VRZ393254:VSV393254 WBV393254:WCR393254 WLR393254:WMN393254 WVN393254:WWJ393254 F458790:AB458790 JB458790:JX458790 SX458790:TT458790 ACT458790:ADP458790 AMP458790:ANL458790 AWL458790:AXH458790 BGH458790:BHD458790 BQD458790:BQZ458790 BZZ458790:CAV458790 CJV458790:CKR458790 CTR458790:CUN458790 DDN458790:DEJ458790 DNJ458790:DOF458790 DXF458790:DYB458790 EHB458790:EHX458790 EQX458790:ERT458790 FAT458790:FBP458790 FKP458790:FLL458790 FUL458790:FVH458790 GEH458790:GFD458790 GOD458790:GOZ458790 GXZ458790:GYV458790 HHV458790:HIR458790 HRR458790:HSN458790 IBN458790:ICJ458790 ILJ458790:IMF458790 IVF458790:IWB458790 JFB458790:JFX458790 JOX458790:JPT458790 JYT458790:JZP458790 KIP458790:KJL458790 KSL458790:KTH458790 LCH458790:LDD458790 LMD458790:LMZ458790 LVZ458790:LWV458790 MFV458790:MGR458790 MPR458790:MQN458790 MZN458790:NAJ458790 NJJ458790:NKF458790 NTF458790:NUB458790 ODB458790:ODX458790 OMX458790:ONT458790 OWT458790:OXP458790 PGP458790:PHL458790 PQL458790:PRH458790 QAH458790:QBD458790 QKD458790:QKZ458790 QTZ458790:QUV458790 RDV458790:RER458790 RNR458790:RON458790 RXN458790:RYJ458790 SHJ458790:SIF458790 SRF458790:SSB458790 TBB458790:TBX458790 TKX458790:TLT458790 TUT458790:TVP458790 UEP458790:UFL458790 UOL458790:UPH458790 UYH458790:UZD458790 VID458790:VIZ458790 VRZ458790:VSV458790 WBV458790:WCR458790 WLR458790:WMN458790 WVN458790:WWJ458790 F524326:AB524326 JB524326:JX524326 SX524326:TT524326 ACT524326:ADP524326 AMP524326:ANL524326 AWL524326:AXH524326 BGH524326:BHD524326 BQD524326:BQZ524326 BZZ524326:CAV524326 CJV524326:CKR524326 CTR524326:CUN524326 DDN524326:DEJ524326 DNJ524326:DOF524326 DXF524326:DYB524326 EHB524326:EHX524326 EQX524326:ERT524326 FAT524326:FBP524326 FKP524326:FLL524326 FUL524326:FVH524326 GEH524326:GFD524326 GOD524326:GOZ524326 GXZ524326:GYV524326 HHV524326:HIR524326 HRR524326:HSN524326 IBN524326:ICJ524326 ILJ524326:IMF524326 IVF524326:IWB524326 JFB524326:JFX524326 JOX524326:JPT524326 JYT524326:JZP524326 KIP524326:KJL524326 KSL524326:KTH524326 LCH524326:LDD524326 LMD524326:LMZ524326 LVZ524326:LWV524326 MFV524326:MGR524326 MPR524326:MQN524326 MZN524326:NAJ524326 NJJ524326:NKF524326 NTF524326:NUB524326 ODB524326:ODX524326 OMX524326:ONT524326 OWT524326:OXP524326 PGP524326:PHL524326 PQL524326:PRH524326 QAH524326:QBD524326 QKD524326:QKZ524326 QTZ524326:QUV524326 RDV524326:RER524326 RNR524326:RON524326 RXN524326:RYJ524326 SHJ524326:SIF524326 SRF524326:SSB524326 TBB524326:TBX524326 TKX524326:TLT524326 TUT524326:TVP524326 UEP524326:UFL524326 UOL524326:UPH524326 UYH524326:UZD524326 VID524326:VIZ524326 VRZ524326:VSV524326 WBV524326:WCR524326 WLR524326:WMN524326 WVN524326:WWJ524326 F589862:AB589862 JB589862:JX589862 SX589862:TT589862 ACT589862:ADP589862 AMP589862:ANL589862 AWL589862:AXH589862 BGH589862:BHD589862 BQD589862:BQZ589862 BZZ589862:CAV589862 CJV589862:CKR589862 CTR589862:CUN589862 DDN589862:DEJ589862 DNJ589862:DOF589862 DXF589862:DYB589862 EHB589862:EHX589862 EQX589862:ERT589862 FAT589862:FBP589862 FKP589862:FLL589862 FUL589862:FVH589862 GEH589862:GFD589862 GOD589862:GOZ589862 GXZ589862:GYV589862 HHV589862:HIR589862 HRR589862:HSN589862 IBN589862:ICJ589862 ILJ589862:IMF589862 IVF589862:IWB589862 JFB589862:JFX589862 JOX589862:JPT589862 JYT589862:JZP589862 KIP589862:KJL589862 KSL589862:KTH589862 LCH589862:LDD589862 LMD589862:LMZ589862 LVZ589862:LWV589862 MFV589862:MGR589862 MPR589862:MQN589862 MZN589862:NAJ589862 NJJ589862:NKF589862 NTF589862:NUB589862 ODB589862:ODX589862 OMX589862:ONT589862 OWT589862:OXP589862 PGP589862:PHL589862 PQL589862:PRH589862 QAH589862:QBD589862 QKD589862:QKZ589862 QTZ589862:QUV589862 RDV589862:RER589862 RNR589862:RON589862 RXN589862:RYJ589862 SHJ589862:SIF589862 SRF589862:SSB589862 TBB589862:TBX589862 TKX589862:TLT589862 TUT589862:TVP589862 UEP589862:UFL589862 UOL589862:UPH589862 UYH589862:UZD589862 VID589862:VIZ589862 VRZ589862:VSV589862 WBV589862:WCR589862 WLR589862:WMN589862 WVN589862:WWJ589862 F655398:AB655398 JB655398:JX655398 SX655398:TT655398 ACT655398:ADP655398 AMP655398:ANL655398 AWL655398:AXH655398 BGH655398:BHD655398 BQD655398:BQZ655398 BZZ655398:CAV655398 CJV655398:CKR655398 CTR655398:CUN655398 DDN655398:DEJ655398 DNJ655398:DOF655398 DXF655398:DYB655398 EHB655398:EHX655398 EQX655398:ERT655398 FAT655398:FBP655398 FKP655398:FLL655398 FUL655398:FVH655398 GEH655398:GFD655398 GOD655398:GOZ655398 GXZ655398:GYV655398 HHV655398:HIR655398 HRR655398:HSN655398 IBN655398:ICJ655398 ILJ655398:IMF655398 IVF655398:IWB655398 JFB655398:JFX655398 JOX655398:JPT655398 JYT655398:JZP655398 KIP655398:KJL655398 KSL655398:KTH655398 LCH655398:LDD655398 LMD655398:LMZ655398 LVZ655398:LWV655398 MFV655398:MGR655398 MPR655398:MQN655398 MZN655398:NAJ655398 NJJ655398:NKF655398 NTF655398:NUB655398 ODB655398:ODX655398 OMX655398:ONT655398 OWT655398:OXP655398 PGP655398:PHL655398 PQL655398:PRH655398 QAH655398:QBD655398 QKD655398:QKZ655398 QTZ655398:QUV655398 RDV655398:RER655398 RNR655398:RON655398 RXN655398:RYJ655398 SHJ655398:SIF655398 SRF655398:SSB655398 TBB655398:TBX655398 TKX655398:TLT655398 TUT655398:TVP655398 UEP655398:UFL655398 UOL655398:UPH655398 UYH655398:UZD655398 VID655398:VIZ655398 VRZ655398:VSV655398 WBV655398:WCR655398 WLR655398:WMN655398 WVN655398:WWJ655398 F720934:AB720934 JB720934:JX720934 SX720934:TT720934 ACT720934:ADP720934 AMP720934:ANL720934 AWL720934:AXH720934 BGH720934:BHD720934 BQD720934:BQZ720934 BZZ720934:CAV720934 CJV720934:CKR720934 CTR720934:CUN720934 DDN720934:DEJ720934 DNJ720934:DOF720934 DXF720934:DYB720934 EHB720934:EHX720934 EQX720934:ERT720934 FAT720934:FBP720934 FKP720934:FLL720934 FUL720934:FVH720934 GEH720934:GFD720934 GOD720934:GOZ720934 GXZ720934:GYV720934 HHV720934:HIR720934 HRR720934:HSN720934 IBN720934:ICJ720934 ILJ720934:IMF720934 IVF720934:IWB720934 JFB720934:JFX720934 JOX720934:JPT720934 JYT720934:JZP720934 KIP720934:KJL720934 KSL720934:KTH720934 LCH720934:LDD720934 LMD720934:LMZ720934 LVZ720934:LWV720934 MFV720934:MGR720934 MPR720934:MQN720934 MZN720934:NAJ720934 NJJ720934:NKF720934 NTF720934:NUB720934 ODB720934:ODX720934 OMX720934:ONT720934 OWT720934:OXP720934 PGP720934:PHL720934 PQL720934:PRH720934 QAH720934:QBD720934 QKD720934:QKZ720934 QTZ720934:QUV720934 RDV720934:RER720934 RNR720934:RON720934 RXN720934:RYJ720934 SHJ720934:SIF720934 SRF720934:SSB720934 TBB720934:TBX720934 TKX720934:TLT720934 TUT720934:TVP720934 UEP720934:UFL720934 UOL720934:UPH720934 UYH720934:UZD720934 VID720934:VIZ720934 VRZ720934:VSV720934 WBV720934:WCR720934 WLR720934:WMN720934 WVN720934:WWJ720934 F786470:AB786470 JB786470:JX786470 SX786470:TT786470 ACT786470:ADP786470 AMP786470:ANL786470 AWL786470:AXH786470 BGH786470:BHD786470 BQD786470:BQZ786470 BZZ786470:CAV786470 CJV786470:CKR786470 CTR786470:CUN786470 DDN786470:DEJ786470 DNJ786470:DOF786470 DXF786470:DYB786470 EHB786470:EHX786470 EQX786470:ERT786470 FAT786470:FBP786470 FKP786470:FLL786470 FUL786470:FVH786470 GEH786470:GFD786470 GOD786470:GOZ786470 GXZ786470:GYV786470 HHV786470:HIR786470 HRR786470:HSN786470 IBN786470:ICJ786470 ILJ786470:IMF786470 IVF786470:IWB786470 JFB786470:JFX786470 JOX786470:JPT786470 JYT786470:JZP786470 KIP786470:KJL786470 KSL786470:KTH786470 LCH786470:LDD786470 LMD786470:LMZ786470 LVZ786470:LWV786470 MFV786470:MGR786470 MPR786470:MQN786470 MZN786470:NAJ786470 NJJ786470:NKF786470 NTF786470:NUB786470 ODB786470:ODX786470 OMX786470:ONT786470 OWT786470:OXP786470 PGP786470:PHL786470 PQL786470:PRH786470 QAH786470:QBD786470 QKD786470:QKZ786470 QTZ786470:QUV786470 RDV786470:RER786470 RNR786470:RON786470 RXN786470:RYJ786470 SHJ786470:SIF786470 SRF786470:SSB786470 TBB786470:TBX786470 TKX786470:TLT786470 TUT786470:TVP786470 UEP786470:UFL786470 UOL786470:UPH786470 UYH786470:UZD786470 VID786470:VIZ786470 VRZ786470:VSV786470 WBV786470:WCR786470 WLR786470:WMN786470 WVN786470:WWJ786470 F852006:AB852006 JB852006:JX852006 SX852006:TT852006 ACT852006:ADP852006 AMP852006:ANL852006 AWL852006:AXH852006 BGH852006:BHD852006 BQD852006:BQZ852006 BZZ852006:CAV852006 CJV852006:CKR852006 CTR852006:CUN852006 DDN852006:DEJ852006 DNJ852006:DOF852006 DXF852006:DYB852006 EHB852006:EHX852006 EQX852006:ERT852006 FAT852006:FBP852006 FKP852006:FLL852006 FUL852006:FVH852006 GEH852006:GFD852006 GOD852006:GOZ852006 GXZ852006:GYV852006 HHV852006:HIR852006 HRR852006:HSN852006 IBN852006:ICJ852006 ILJ852006:IMF852006 IVF852006:IWB852006 JFB852006:JFX852006 JOX852006:JPT852006 JYT852006:JZP852006 KIP852006:KJL852006 KSL852006:KTH852006 LCH852006:LDD852006 LMD852006:LMZ852006 LVZ852006:LWV852006 MFV852006:MGR852006 MPR852006:MQN852006 MZN852006:NAJ852006 NJJ852006:NKF852006 NTF852006:NUB852006 ODB852006:ODX852006 OMX852006:ONT852006 OWT852006:OXP852006 PGP852006:PHL852006 PQL852006:PRH852006 QAH852006:QBD852006 QKD852006:QKZ852006 QTZ852006:QUV852006 RDV852006:RER852006 RNR852006:RON852006 RXN852006:RYJ852006 SHJ852006:SIF852006 SRF852006:SSB852006 TBB852006:TBX852006 TKX852006:TLT852006 TUT852006:TVP852006 UEP852006:UFL852006 UOL852006:UPH852006 UYH852006:UZD852006 VID852006:VIZ852006 VRZ852006:VSV852006 WBV852006:WCR852006 WLR852006:WMN852006 WVN852006:WWJ852006 F917542:AB917542 JB917542:JX917542 SX917542:TT917542 ACT917542:ADP917542 AMP917542:ANL917542 AWL917542:AXH917542 BGH917542:BHD917542 BQD917542:BQZ917542 BZZ917542:CAV917542 CJV917542:CKR917542 CTR917542:CUN917542 DDN917542:DEJ917542 DNJ917542:DOF917542 DXF917542:DYB917542 EHB917542:EHX917542 EQX917542:ERT917542 FAT917542:FBP917542 FKP917542:FLL917542 FUL917542:FVH917542 GEH917542:GFD917542 GOD917542:GOZ917542 GXZ917542:GYV917542 HHV917542:HIR917542 HRR917542:HSN917542 IBN917542:ICJ917542 ILJ917542:IMF917542 IVF917542:IWB917542 JFB917542:JFX917542 JOX917542:JPT917542 JYT917542:JZP917542 KIP917542:KJL917542 KSL917542:KTH917542 LCH917542:LDD917542 LMD917542:LMZ917542 LVZ917542:LWV917542 MFV917542:MGR917542 MPR917542:MQN917542 MZN917542:NAJ917542 NJJ917542:NKF917542 NTF917542:NUB917542 ODB917542:ODX917542 OMX917542:ONT917542 OWT917542:OXP917542 PGP917542:PHL917542 PQL917542:PRH917542 QAH917542:QBD917542 QKD917542:QKZ917542 QTZ917542:QUV917542 RDV917542:RER917542 RNR917542:RON917542 RXN917542:RYJ917542 SHJ917542:SIF917542 SRF917542:SSB917542 TBB917542:TBX917542 TKX917542:TLT917542 TUT917542:TVP917542 UEP917542:UFL917542 UOL917542:UPH917542 UYH917542:UZD917542 VID917542:VIZ917542 VRZ917542:VSV917542 WBV917542:WCR917542 WLR917542:WMN917542 WVN917542:WWJ917542 F983078:AB983078 JB983078:JX983078 SX983078:TT983078 ACT983078:ADP983078 AMP983078:ANL983078 AWL983078:AXH983078 BGH983078:BHD983078 BQD983078:BQZ983078 BZZ983078:CAV983078 CJV983078:CKR983078 CTR983078:CUN983078 DDN983078:DEJ983078 DNJ983078:DOF983078 DXF983078:DYB983078 EHB983078:EHX983078 EQX983078:ERT983078 FAT983078:FBP983078 FKP983078:FLL983078 FUL983078:FVH983078 GEH983078:GFD983078 GOD983078:GOZ983078 GXZ983078:GYV983078 HHV983078:HIR983078 HRR983078:HSN983078 IBN983078:ICJ983078 ILJ983078:IMF983078 IVF983078:IWB983078 JFB983078:JFX983078 JOX983078:JPT983078 JYT983078:JZP983078 KIP983078:KJL983078 KSL983078:KTH983078 LCH983078:LDD983078 LMD983078:LMZ983078 LVZ983078:LWV983078 MFV983078:MGR983078 MPR983078:MQN983078 MZN983078:NAJ983078 NJJ983078:NKF983078 NTF983078:NUB983078 ODB983078:ODX983078 OMX983078:ONT983078 OWT983078:OXP983078 PGP983078:PHL983078 PQL983078:PRH983078 QAH983078:QBD983078 QKD983078:QKZ983078 QTZ983078:QUV983078 RDV983078:RER983078 RNR983078:RON983078 RXN983078:RYJ983078 SHJ983078:SIF983078 SRF983078:SSB983078 TBB983078:TBX983078 TKX983078:TLT983078 TUT983078:TVP983078 UEP983078:UFL983078 UOL983078:UPH983078 UYH983078:UZD983078 VID983078:VIZ983078 VRZ983078:VSV983078 WBV983078:WCR983078 WLR983078:WMN983078 WVN983078:WWJ983078 AD39:AG39 JZ39:KC39 TV39:TY39 ADR39:ADU39 ANN39:ANQ39 AXJ39:AXM39 BHF39:BHI39 BRB39:BRE39 CAX39:CBA39 CKT39:CKW39 CUP39:CUS39 DEL39:DEO39 DOH39:DOK39 DYD39:DYG39 EHZ39:EIC39 ERV39:ERY39 FBR39:FBU39 FLN39:FLQ39 FVJ39:FVM39 GFF39:GFI39 GPB39:GPE39 GYX39:GZA39 HIT39:HIW39 HSP39:HSS39 ICL39:ICO39 IMH39:IMK39 IWD39:IWG39 JFZ39:JGC39 JPV39:JPY39 JZR39:JZU39 KJN39:KJQ39 KTJ39:KTM39 LDF39:LDI39 LNB39:LNE39 LWX39:LXA39 MGT39:MGW39 MQP39:MQS39 NAL39:NAO39 NKH39:NKK39 NUD39:NUG39 ODZ39:OEC39 ONV39:ONY39 OXR39:OXU39 PHN39:PHQ39 PRJ39:PRM39 QBF39:QBI39 QLB39:QLE39 QUX39:QVA39 RET39:REW39 ROP39:ROS39 RYL39:RYO39 SIH39:SIK39 SSD39:SSG39 TBZ39:TCC39 TLV39:TLY39 TVR39:TVU39 UFN39:UFQ39 UPJ39:UPM39 UZF39:UZI39 VJB39:VJE39 VSX39:VTA39 WCT39:WCW39 WMP39:WMS39 WWL39:WWO39 AD65574:AG65574 JZ65574:KC65574 TV65574:TY65574 ADR65574:ADU65574 ANN65574:ANQ65574 AXJ65574:AXM65574 BHF65574:BHI65574 BRB65574:BRE65574 CAX65574:CBA65574 CKT65574:CKW65574 CUP65574:CUS65574 DEL65574:DEO65574 DOH65574:DOK65574 DYD65574:DYG65574 EHZ65574:EIC65574 ERV65574:ERY65574 FBR65574:FBU65574 FLN65574:FLQ65574 FVJ65574:FVM65574 GFF65574:GFI65574 GPB65574:GPE65574 GYX65574:GZA65574 HIT65574:HIW65574 HSP65574:HSS65574 ICL65574:ICO65574 IMH65574:IMK65574 IWD65574:IWG65574 JFZ65574:JGC65574 JPV65574:JPY65574 JZR65574:JZU65574 KJN65574:KJQ65574 KTJ65574:KTM65574 LDF65574:LDI65574 LNB65574:LNE65574 LWX65574:LXA65574 MGT65574:MGW65574 MQP65574:MQS65574 NAL65574:NAO65574 NKH65574:NKK65574 NUD65574:NUG65574 ODZ65574:OEC65574 ONV65574:ONY65574 OXR65574:OXU65574 PHN65574:PHQ65574 PRJ65574:PRM65574 QBF65574:QBI65574 QLB65574:QLE65574 QUX65574:QVA65574 RET65574:REW65574 ROP65574:ROS65574 RYL65574:RYO65574 SIH65574:SIK65574 SSD65574:SSG65574 TBZ65574:TCC65574 TLV65574:TLY65574 TVR65574:TVU65574 UFN65574:UFQ65574 UPJ65574:UPM65574 UZF65574:UZI65574 VJB65574:VJE65574 VSX65574:VTA65574 WCT65574:WCW65574 WMP65574:WMS65574 WWL65574:WWO65574 AD131110:AG131110 JZ131110:KC131110 TV131110:TY131110 ADR131110:ADU131110 ANN131110:ANQ131110 AXJ131110:AXM131110 BHF131110:BHI131110 BRB131110:BRE131110 CAX131110:CBA131110 CKT131110:CKW131110 CUP131110:CUS131110 DEL131110:DEO131110 DOH131110:DOK131110 DYD131110:DYG131110 EHZ131110:EIC131110 ERV131110:ERY131110 FBR131110:FBU131110 FLN131110:FLQ131110 FVJ131110:FVM131110 GFF131110:GFI131110 GPB131110:GPE131110 GYX131110:GZA131110 HIT131110:HIW131110 HSP131110:HSS131110 ICL131110:ICO131110 IMH131110:IMK131110 IWD131110:IWG131110 JFZ131110:JGC131110 JPV131110:JPY131110 JZR131110:JZU131110 KJN131110:KJQ131110 KTJ131110:KTM131110 LDF131110:LDI131110 LNB131110:LNE131110 LWX131110:LXA131110 MGT131110:MGW131110 MQP131110:MQS131110 NAL131110:NAO131110 NKH131110:NKK131110 NUD131110:NUG131110 ODZ131110:OEC131110 ONV131110:ONY131110 OXR131110:OXU131110 PHN131110:PHQ131110 PRJ131110:PRM131110 QBF131110:QBI131110 QLB131110:QLE131110 QUX131110:QVA131110 RET131110:REW131110 ROP131110:ROS131110 RYL131110:RYO131110 SIH131110:SIK131110 SSD131110:SSG131110 TBZ131110:TCC131110 TLV131110:TLY131110 TVR131110:TVU131110 UFN131110:UFQ131110 UPJ131110:UPM131110 UZF131110:UZI131110 VJB131110:VJE131110 VSX131110:VTA131110 WCT131110:WCW131110 WMP131110:WMS131110 WWL131110:WWO131110 AD196646:AG196646 JZ196646:KC196646 TV196646:TY196646 ADR196646:ADU196646 ANN196646:ANQ196646 AXJ196646:AXM196646 BHF196646:BHI196646 BRB196646:BRE196646 CAX196646:CBA196646 CKT196646:CKW196646 CUP196646:CUS196646 DEL196646:DEO196646 DOH196646:DOK196646 DYD196646:DYG196646 EHZ196646:EIC196646 ERV196646:ERY196646 FBR196646:FBU196646 FLN196646:FLQ196646 FVJ196646:FVM196646 GFF196646:GFI196646 GPB196646:GPE196646 GYX196646:GZA196646 HIT196646:HIW196646 HSP196646:HSS196646 ICL196646:ICO196646 IMH196646:IMK196646 IWD196646:IWG196646 JFZ196646:JGC196646 JPV196646:JPY196646 JZR196646:JZU196646 KJN196646:KJQ196646 KTJ196646:KTM196646 LDF196646:LDI196646 LNB196646:LNE196646 LWX196646:LXA196646 MGT196646:MGW196646 MQP196646:MQS196646 NAL196646:NAO196646 NKH196646:NKK196646 NUD196646:NUG196646 ODZ196646:OEC196646 ONV196646:ONY196646 OXR196646:OXU196646 PHN196646:PHQ196646 PRJ196646:PRM196646 QBF196646:QBI196646 QLB196646:QLE196646 QUX196646:QVA196646 RET196646:REW196646 ROP196646:ROS196646 RYL196646:RYO196646 SIH196646:SIK196646 SSD196646:SSG196646 TBZ196646:TCC196646 TLV196646:TLY196646 TVR196646:TVU196646 UFN196646:UFQ196646 UPJ196646:UPM196646 UZF196646:UZI196646 VJB196646:VJE196646 VSX196646:VTA196646 WCT196646:WCW196646 WMP196646:WMS196646 WWL196646:WWO196646 AD262182:AG262182 JZ262182:KC262182 TV262182:TY262182 ADR262182:ADU262182 ANN262182:ANQ262182 AXJ262182:AXM262182 BHF262182:BHI262182 BRB262182:BRE262182 CAX262182:CBA262182 CKT262182:CKW262182 CUP262182:CUS262182 DEL262182:DEO262182 DOH262182:DOK262182 DYD262182:DYG262182 EHZ262182:EIC262182 ERV262182:ERY262182 FBR262182:FBU262182 FLN262182:FLQ262182 FVJ262182:FVM262182 GFF262182:GFI262182 GPB262182:GPE262182 GYX262182:GZA262182 HIT262182:HIW262182 HSP262182:HSS262182 ICL262182:ICO262182 IMH262182:IMK262182 IWD262182:IWG262182 JFZ262182:JGC262182 JPV262182:JPY262182 JZR262182:JZU262182 KJN262182:KJQ262182 KTJ262182:KTM262182 LDF262182:LDI262182 LNB262182:LNE262182 LWX262182:LXA262182 MGT262182:MGW262182 MQP262182:MQS262182 NAL262182:NAO262182 NKH262182:NKK262182 NUD262182:NUG262182 ODZ262182:OEC262182 ONV262182:ONY262182 OXR262182:OXU262182 PHN262182:PHQ262182 PRJ262182:PRM262182 QBF262182:QBI262182 QLB262182:QLE262182 QUX262182:QVA262182 RET262182:REW262182 ROP262182:ROS262182 RYL262182:RYO262182 SIH262182:SIK262182 SSD262182:SSG262182 TBZ262182:TCC262182 TLV262182:TLY262182 TVR262182:TVU262182 UFN262182:UFQ262182 UPJ262182:UPM262182 UZF262182:UZI262182 VJB262182:VJE262182 VSX262182:VTA262182 WCT262182:WCW262182 WMP262182:WMS262182 WWL262182:WWO262182 AD327718:AG327718 JZ327718:KC327718 TV327718:TY327718 ADR327718:ADU327718 ANN327718:ANQ327718 AXJ327718:AXM327718 BHF327718:BHI327718 BRB327718:BRE327718 CAX327718:CBA327718 CKT327718:CKW327718 CUP327718:CUS327718 DEL327718:DEO327718 DOH327718:DOK327718 DYD327718:DYG327718 EHZ327718:EIC327718 ERV327718:ERY327718 FBR327718:FBU327718 FLN327718:FLQ327718 FVJ327718:FVM327718 GFF327718:GFI327718 GPB327718:GPE327718 GYX327718:GZA327718 HIT327718:HIW327718 HSP327718:HSS327718 ICL327718:ICO327718 IMH327718:IMK327718 IWD327718:IWG327718 JFZ327718:JGC327718 JPV327718:JPY327718 JZR327718:JZU327718 KJN327718:KJQ327718 KTJ327718:KTM327718 LDF327718:LDI327718 LNB327718:LNE327718 LWX327718:LXA327718 MGT327718:MGW327718 MQP327718:MQS327718 NAL327718:NAO327718 NKH327718:NKK327718 NUD327718:NUG327718 ODZ327718:OEC327718 ONV327718:ONY327718 OXR327718:OXU327718 PHN327718:PHQ327718 PRJ327718:PRM327718 QBF327718:QBI327718 QLB327718:QLE327718 QUX327718:QVA327718 RET327718:REW327718 ROP327718:ROS327718 RYL327718:RYO327718 SIH327718:SIK327718 SSD327718:SSG327718 TBZ327718:TCC327718 TLV327718:TLY327718 TVR327718:TVU327718 UFN327718:UFQ327718 UPJ327718:UPM327718 UZF327718:UZI327718 VJB327718:VJE327718 VSX327718:VTA327718 WCT327718:WCW327718 WMP327718:WMS327718 WWL327718:WWO327718 AD393254:AG393254 JZ393254:KC393254 TV393254:TY393254 ADR393254:ADU393254 ANN393254:ANQ393254 AXJ393254:AXM393254 BHF393254:BHI393254 BRB393254:BRE393254 CAX393254:CBA393254 CKT393254:CKW393254 CUP393254:CUS393254 DEL393254:DEO393254 DOH393254:DOK393254 DYD393254:DYG393254 EHZ393254:EIC393254 ERV393254:ERY393254 FBR393254:FBU393254 FLN393254:FLQ393254 FVJ393254:FVM393254 GFF393254:GFI393254 GPB393254:GPE393254 GYX393254:GZA393254 HIT393254:HIW393254 HSP393254:HSS393254 ICL393254:ICO393254 IMH393254:IMK393254 IWD393254:IWG393254 JFZ393254:JGC393254 JPV393254:JPY393254 JZR393254:JZU393254 KJN393254:KJQ393254 KTJ393254:KTM393254 LDF393254:LDI393254 LNB393254:LNE393254 LWX393254:LXA393254 MGT393254:MGW393254 MQP393254:MQS393254 NAL393254:NAO393254 NKH393254:NKK393254 NUD393254:NUG393254 ODZ393254:OEC393254 ONV393254:ONY393254 OXR393254:OXU393254 PHN393254:PHQ393254 PRJ393254:PRM393254 QBF393254:QBI393254 QLB393254:QLE393254 QUX393254:QVA393254 RET393254:REW393254 ROP393254:ROS393254 RYL393254:RYO393254 SIH393254:SIK393254 SSD393254:SSG393254 TBZ393254:TCC393254 TLV393254:TLY393254 TVR393254:TVU393254 UFN393254:UFQ393254 UPJ393254:UPM393254 UZF393254:UZI393254 VJB393254:VJE393254 VSX393254:VTA393254 WCT393254:WCW393254 WMP393254:WMS393254 WWL393254:WWO393254 AD458790:AG458790 JZ458790:KC458790 TV458790:TY458790 ADR458790:ADU458790 ANN458790:ANQ458790 AXJ458790:AXM458790 BHF458790:BHI458790 BRB458790:BRE458790 CAX458790:CBA458790 CKT458790:CKW458790 CUP458790:CUS458790 DEL458790:DEO458790 DOH458790:DOK458790 DYD458790:DYG458790 EHZ458790:EIC458790 ERV458790:ERY458790 FBR458790:FBU458790 FLN458790:FLQ458790 FVJ458790:FVM458790 GFF458790:GFI458790 GPB458790:GPE458790 GYX458790:GZA458790 HIT458790:HIW458790 HSP458790:HSS458790 ICL458790:ICO458790 IMH458790:IMK458790 IWD458790:IWG458790 JFZ458790:JGC458790 JPV458790:JPY458790 JZR458790:JZU458790 KJN458790:KJQ458790 KTJ458790:KTM458790 LDF458790:LDI458790 LNB458790:LNE458790 LWX458790:LXA458790 MGT458790:MGW458790 MQP458790:MQS458790 NAL458790:NAO458790 NKH458790:NKK458790 NUD458790:NUG458790 ODZ458790:OEC458790 ONV458790:ONY458790 OXR458790:OXU458790 PHN458790:PHQ458790 PRJ458790:PRM458790 QBF458790:QBI458790 QLB458790:QLE458790 QUX458790:QVA458790 RET458790:REW458790 ROP458790:ROS458790 RYL458790:RYO458790 SIH458790:SIK458790 SSD458790:SSG458790 TBZ458790:TCC458790 TLV458790:TLY458790 TVR458790:TVU458790 UFN458790:UFQ458790 UPJ458790:UPM458790 UZF458790:UZI458790 VJB458790:VJE458790 VSX458790:VTA458790 WCT458790:WCW458790 WMP458790:WMS458790 WWL458790:WWO458790 AD524326:AG524326 JZ524326:KC524326 TV524326:TY524326 ADR524326:ADU524326 ANN524326:ANQ524326 AXJ524326:AXM524326 BHF524326:BHI524326 BRB524326:BRE524326 CAX524326:CBA524326 CKT524326:CKW524326 CUP524326:CUS524326 DEL524326:DEO524326 DOH524326:DOK524326 DYD524326:DYG524326 EHZ524326:EIC524326 ERV524326:ERY524326 FBR524326:FBU524326 FLN524326:FLQ524326 FVJ524326:FVM524326 GFF524326:GFI524326 GPB524326:GPE524326 GYX524326:GZA524326 HIT524326:HIW524326 HSP524326:HSS524326 ICL524326:ICO524326 IMH524326:IMK524326 IWD524326:IWG524326 JFZ524326:JGC524326 JPV524326:JPY524326 JZR524326:JZU524326 KJN524326:KJQ524326 KTJ524326:KTM524326 LDF524326:LDI524326 LNB524326:LNE524326 LWX524326:LXA524326 MGT524326:MGW524326 MQP524326:MQS524326 NAL524326:NAO524326 NKH524326:NKK524326 NUD524326:NUG524326 ODZ524326:OEC524326 ONV524326:ONY524326 OXR524326:OXU524326 PHN524326:PHQ524326 PRJ524326:PRM524326 QBF524326:QBI524326 QLB524326:QLE524326 QUX524326:QVA524326 RET524326:REW524326 ROP524326:ROS524326 RYL524326:RYO524326 SIH524326:SIK524326 SSD524326:SSG524326 TBZ524326:TCC524326 TLV524326:TLY524326 TVR524326:TVU524326 UFN524326:UFQ524326 UPJ524326:UPM524326 UZF524326:UZI524326 VJB524326:VJE524326 VSX524326:VTA524326 WCT524326:WCW524326 WMP524326:WMS524326 WWL524326:WWO524326 AD589862:AG589862 JZ589862:KC589862 TV589862:TY589862 ADR589862:ADU589862 ANN589862:ANQ589862 AXJ589862:AXM589862 BHF589862:BHI589862 BRB589862:BRE589862 CAX589862:CBA589862 CKT589862:CKW589862 CUP589862:CUS589862 DEL589862:DEO589862 DOH589862:DOK589862 DYD589862:DYG589862 EHZ589862:EIC589862 ERV589862:ERY589862 FBR589862:FBU589862 FLN589862:FLQ589862 FVJ589862:FVM589862 GFF589862:GFI589862 GPB589862:GPE589862 GYX589862:GZA589862 HIT589862:HIW589862 HSP589862:HSS589862 ICL589862:ICO589862 IMH589862:IMK589862 IWD589862:IWG589862 JFZ589862:JGC589862 JPV589862:JPY589862 JZR589862:JZU589862 KJN589862:KJQ589862 KTJ589862:KTM589862 LDF589862:LDI589862 LNB589862:LNE589862 LWX589862:LXA589862 MGT589862:MGW589862 MQP589862:MQS589862 NAL589862:NAO589862 NKH589862:NKK589862 NUD589862:NUG589862 ODZ589862:OEC589862 ONV589862:ONY589862 OXR589862:OXU589862 PHN589862:PHQ589862 PRJ589862:PRM589862 QBF589862:QBI589862 QLB589862:QLE589862 QUX589862:QVA589862 RET589862:REW589862 ROP589862:ROS589862 RYL589862:RYO589862 SIH589862:SIK589862 SSD589862:SSG589862 TBZ589862:TCC589862 TLV589862:TLY589862 TVR589862:TVU589862 UFN589862:UFQ589862 UPJ589862:UPM589862 UZF589862:UZI589862 VJB589862:VJE589862 VSX589862:VTA589862 WCT589862:WCW589862 WMP589862:WMS589862 WWL589862:WWO589862 AD655398:AG655398 JZ655398:KC655398 TV655398:TY655398 ADR655398:ADU655398 ANN655398:ANQ655398 AXJ655398:AXM655398 BHF655398:BHI655398 BRB655398:BRE655398 CAX655398:CBA655398 CKT655398:CKW655398 CUP655398:CUS655398 DEL655398:DEO655398 DOH655398:DOK655398 DYD655398:DYG655398 EHZ655398:EIC655398 ERV655398:ERY655398 FBR655398:FBU655398 FLN655398:FLQ655398 FVJ655398:FVM655398 GFF655398:GFI655398 GPB655398:GPE655398 GYX655398:GZA655398 HIT655398:HIW655398 HSP655398:HSS655398 ICL655398:ICO655398 IMH655398:IMK655398 IWD655398:IWG655398 JFZ655398:JGC655398 JPV655398:JPY655398 JZR655398:JZU655398 KJN655398:KJQ655398 KTJ655398:KTM655398 LDF655398:LDI655398 LNB655398:LNE655398 LWX655398:LXA655398 MGT655398:MGW655398 MQP655398:MQS655398 NAL655398:NAO655398 NKH655398:NKK655398 NUD655398:NUG655398 ODZ655398:OEC655398 ONV655398:ONY655398 OXR655398:OXU655398 PHN655398:PHQ655398 PRJ655398:PRM655398 QBF655398:QBI655398 QLB655398:QLE655398 QUX655398:QVA655398 RET655398:REW655398 ROP655398:ROS655398 RYL655398:RYO655398 SIH655398:SIK655398 SSD655398:SSG655398 TBZ655398:TCC655398 TLV655398:TLY655398 TVR655398:TVU655398 UFN655398:UFQ655398 UPJ655398:UPM655398 UZF655398:UZI655398 VJB655398:VJE655398 VSX655398:VTA655398 WCT655398:WCW655398 WMP655398:WMS655398 WWL655398:WWO655398 AD720934:AG720934 JZ720934:KC720934 TV720934:TY720934 ADR720934:ADU720934 ANN720934:ANQ720934 AXJ720934:AXM720934 BHF720934:BHI720934 BRB720934:BRE720934 CAX720934:CBA720934 CKT720934:CKW720934 CUP720934:CUS720934 DEL720934:DEO720934 DOH720934:DOK720934 DYD720934:DYG720934 EHZ720934:EIC720934 ERV720934:ERY720934 FBR720934:FBU720934 FLN720934:FLQ720934 FVJ720934:FVM720934 GFF720934:GFI720934 GPB720934:GPE720934 GYX720934:GZA720934 HIT720934:HIW720934 HSP720934:HSS720934 ICL720934:ICO720934 IMH720934:IMK720934 IWD720934:IWG720934 JFZ720934:JGC720934 JPV720934:JPY720934 JZR720934:JZU720934 KJN720934:KJQ720934 KTJ720934:KTM720934 LDF720934:LDI720934 LNB720934:LNE720934 LWX720934:LXA720934 MGT720934:MGW720934 MQP720934:MQS720934 NAL720934:NAO720934 NKH720934:NKK720934 NUD720934:NUG720934 ODZ720934:OEC720934 ONV720934:ONY720934 OXR720934:OXU720934 PHN720934:PHQ720934 PRJ720934:PRM720934 QBF720934:QBI720934 QLB720934:QLE720934 QUX720934:QVA720934 RET720934:REW720934 ROP720934:ROS720934 RYL720934:RYO720934 SIH720934:SIK720934 SSD720934:SSG720934 TBZ720934:TCC720934 TLV720934:TLY720934 TVR720934:TVU720934 UFN720934:UFQ720934 UPJ720934:UPM720934 UZF720934:UZI720934 VJB720934:VJE720934 VSX720934:VTA720934 WCT720934:WCW720934 WMP720934:WMS720934 WWL720934:WWO720934 AD786470:AG786470 JZ786470:KC786470 TV786470:TY786470 ADR786470:ADU786470 ANN786470:ANQ786470 AXJ786470:AXM786470 BHF786470:BHI786470 BRB786470:BRE786470 CAX786470:CBA786470 CKT786470:CKW786470 CUP786470:CUS786470 DEL786470:DEO786470 DOH786470:DOK786470 DYD786470:DYG786470 EHZ786470:EIC786470 ERV786470:ERY786470 FBR786470:FBU786470 FLN786470:FLQ786470 FVJ786470:FVM786470 GFF786470:GFI786470 GPB786470:GPE786470 GYX786470:GZA786470 HIT786470:HIW786470 HSP786470:HSS786470 ICL786470:ICO786470 IMH786470:IMK786470 IWD786470:IWG786470 JFZ786470:JGC786470 JPV786470:JPY786470 JZR786470:JZU786470 KJN786470:KJQ786470 KTJ786470:KTM786470 LDF786470:LDI786470 LNB786470:LNE786470 LWX786470:LXA786470 MGT786470:MGW786470 MQP786470:MQS786470 NAL786470:NAO786470 NKH786470:NKK786470 NUD786470:NUG786470 ODZ786470:OEC786470 ONV786470:ONY786470 OXR786470:OXU786470 PHN786470:PHQ786470 PRJ786470:PRM786470 QBF786470:QBI786470 QLB786470:QLE786470 QUX786470:QVA786470 RET786470:REW786470 ROP786470:ROS786470 RYL786470:RYO786470 SIH786470:SIK786470 SSD786470:SSG786470 TBZ786470:TCC786470 TLV786470:TLY786470 TVR786470:TVU786470 UFN786470:UFQ786470 UPJ786470:UPM786470 UZF786470:UZI786470 VJB786470:VJE786470 VSX786470:VTA786470 WCT786470:WCW786470 WMP786470:WMS786470 WWL786470:WWO786470 AD852006:AG852006 JZ852006:KC852006 TV852006:TY852006 ADR852006:ADU852006 ANN852006:ANQ852006 AXJ852006:AXM852006 BHF852006:BHI852006 BRB852006:BRE852006 CAX852006:CBA852006 CKT852006:CKW852006 CUP852006:CUS852006 DEL852006:DEO852006 DOH852006:DOK852006 DYD852006:DYG852006 EHZ852006:EIC852006 ERV852006:ERY852006 FBR852006:FBU852006 FLN852006:FLQ852006 FVJ852006:FVM852006 GFF852006:GFI852006 GPB852006:GPE852006 GYX852006:GZA852006 HIT852006:HIW852006 HSP852006:HSS852006 ICL852006:ICO852006 IMH852006:IMK852006 IWD852006:IWG852006 JFZ852006:JGC852006 JPV852006:JPY852006 JZR852006:JZU852006 KJN852006:KJQ852006 KTJ852006:KTM852006 LDF852006:LDI852006 LNB852006:LNE852006 LWX852006:LXA852006 MGT852006:MGW852006 MQP852006:MQS852006 NAL852006:NAO852006 NKH852006:NKK852006 NUD852006:NUG852006 ODZ852006:OEC852006 ONV852006:ONY852006 OXR852006:OXU852006 PHN852006:PHQ852006 PRJ852006:PRM852006 QBF852006:QBI852006 QLB852006:QLE852006 QUX852006:QVA852006 RET852006:REW852006 ROP852006:ROS852006 RYL852006:RYO852006 SIH852006:SIK852006 SSD852006:SSG852006 TBZ852006:TCC852006 TLV852006:TLY852006 TVR852006:TVU852006 UFN852006:UFQ852006 UPJ852006:UPM852006 UZF852006:UZI852006 VJB852006:VJE852006 VSX852006:VTA852006 WCT852006:WCW852006 WMP852006:WMS852006 WWL852006:WWO852006 AD917542:AG917542 JZ917542:KC917542 TV917542:TY917542 ADR917542:ADU917542 ANN917542:ANQ917542 AXJ917542:AXM917542 BHF917542:BHI917542 BRB917542:BRE917542 CAX917542:CBA917542 CKT917542:CKW917542 CUP917542:CUS917542 DEL917542:DEO917542 DOH917542:DOK917542 DYD917542:DYG917542 EHZ917542:EIC917542 ERV917542:ERY917542 FBR917542:FBU917542 FLN917542:FLQ917542 FVJ917542:FVM917542 GFF917542:GFI917542 GPB917542:GPE917542 GYX917542:GZA917542 HIT917542:HIW917542 HSP917542:HSS917542 ICL917542:ICO917542 IMH917542:IMK917542 IWD917542:IWG917542 JFZ917542:JGC917542 JPV917542:JPY917542 JZR917542:JZU917542 KJN917542:KJQ917542 KTJ917542:KTM917542 LDF917542:LDI917542 LNB917542:LNE917542 LWX917542:LXA917542 MGT917542:MGW917542 MQP917542:MQS917542 NAL917542:NAO917542 NKH917542:NKK917542 NUD917542:NUG917542 ODZ917542:OEC917542 ONV917542:ONY917542 OXR917542:OXU917542 PHN917542:PHQ917542 PRJ917542:PRM917542 QBF917542:QBI917542 QLB917542:QLE917542 QUX917542:QVA917542 RET917542:REW917542 ROP917542:ROS917542 RYL917542:RYO917542 SIH917542:SIK917542 SSD917542:SSG917542 TBZ917542:TCC917542 TLV917542:TLY917542 TVR917542:TVU917542 UFN917542:UFQ917542 UPJ917542:UPM917542 UZF917542:UZI917542 VJB917542:VJE917542 VSX917542:VTA917542 WCT917542:WCW917542 WMP917542:WMS917542 WWL917542:WWO917542 AD983078:AG983078 JZ983078:KC983078 TV983078:TY983078 ADR983078:ADU983078 ANN983078:ANQ983078 AXJ983078:AXM983078 BHF983078:BHI983078 BRB983078:BRE983078 CAX983078:CBA983078 CKT983078:CKW983078 CUP983078:CUS983078 DEL983078:DEO983078 DOH983078:DOK983078 DYD983078:DYG983078 EHZ983078:EIC983078 ERV983078:ERY983078 FBR983078:FBU983078 FLN983078:FLQ983078 FVJ983078:FVM983078 GFF983078:GFI983078 GPB983078:GPE983078 GYX983078:GZA983078 HIT983078:HIW983078 HSP983078:HSS983078 ICL983078:ICO983078 IMH983078:IMK983078 IWD983078:IWG983078 JFZ983078:JGC983078 JPV983078:JPY983078 JZR983078:JZU983078 KJN983078:KJQ983078 KTJ983078:KTM983078 LDF983078:LDI983078 LNB983078:LNE983078 LWX983078:LXA983078 MGT983078:MGW983078 MQP983078:MQS983078 NAL983078:NAO983078 NKH983078:NKK983078 NUD983078:NUG983078 ODZ983078:OEC983078 ONV983078:ONY983078 OXR983078:OXU983078 PHN983078:PHQ983078 PRJ983078:PRM983078 QBF983078:QBI983078 QLB983078:QLE983078 QUX983078:QVA983078 RET983078:REW983078 ROP983078:ROS983078 RYL983078:RYO983078 SIH983078:SIK983078 SSD983078:SSG983078 TBZ983078:TCC983078 TLV983078:TLY983078 TVR983078:TVU983078 UFN983078:UFQ983078 UPJ983078:UPM983078 UZF983078:UZI983078 VJB983078:VJE983078 VSX983078:VTA983078 WCT983078:WCW983078 WMP983078:WMS983078 WWL983078:WWO983078 WVT983064:WWF983064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0:X65560 JH65560:JT65560 TD65560:TP65560 ACZ65560:ADL65560 AMV65560:ANH65560 AWR65560:AXD65560 BGN65560:BGZ65560 BQJ65560:BQV65560 CAF65560:CAR65560 CKB65560:CKN65560 CTX65560:CUJ65560 DDT65560:DEF65560 DNP65560:DOB65560 DXL65560:DXX65560 EHH65560:EHT65560 ERD65560:ERP65560 FAZ65560:FBL65560 FKV65560:FLH65560 FUR65560:FVD65560 GEN65560:GEZ65560 GOJ65560:GOV65560 GYF65560:GYR65560 HIB65560:HIN65560 HRX65560:HSJ65560 IBT65560:ICF65560 ILP65560:IMB65560 IVL65560:IVX65560 JFH65560:JFT65560 JPD65560:JPP65560 JYZ65560:JZL65560 KIV65560:KJH65560 KSR65560:KTD65560 LCN65560:LCZ65560 LMJ65560:LMV65560 LWF65560:LWR65560 MGB65560:MGN65560 MPX65560:MQJ65560 MZT65560:NAF65560 NJP65560:NKB65560 NTL65560:NTX65560 ODH65560:ODT65560 OND65560:ONP65560 OWZ65560:OXL65560 PGV65560:PHH65560 PQR65560:PRD65560 QAN65560:QAZ65560 QKJ65560:QKV65560 QUF65560:QUR65560 REB65560:REN65560 RNX65560:ROJ65560 RXT65560:RYF65560 SHP65560:SIB65560 SRL65560:SRX65560 TBH65560:TBT65560 TLD65560:TLP65560 TUZ65560:TVL65560 UEV65560:UFH65560 UOR65560:UPD65560 UYN65560:UYZ65560 VIJ65560:VIV65560 VSF65560:VSR65560 WCB65560:WCN65560 WLX65560:WMJ65560 WVT65560:WWF65560 L131096:X131096 JH131096:JT131096 TD131096:TP131096 ACZ131096:ADL131096 AMV131096:ANH131096 AWR131096:AXD131096 BGN131096:BGZ131096 BQJ131096:BQV131096 CAF131096:CAR131096 CKB131096:CKN131096 CTX131096:CUJ131096 DDT131096:DEF131096 DNP131096:DOB131096 DXL131096:DXX131096 EHH131096:EHT131096 ERD131096:ERP131096 FAZ131096:FBL131096 FKV131096:FLH131096 FUR131096:FVD131096 GEN131096:GEZ131096 GOJ131096:GOV131096 GYF131096:GYR131096 HIB131096:HIN131096 HRX131096:HSJ131096 IBT131096:ICF131096 ILP131096:IMB131096 IVL131096:IVX131096 JFH131096:JFT131096 JPD131096:JPP131096 JYZ131096:JZL131096 KIV131096:KJH131096 KSR131096:KTD131096 LCN131096:LCZ131096 LMJ131096:LMV131096 LWF131096:LWR131096 MGB131096:MGN131096 MPX131096:MQJ131096 MZT131096:NAF131096 NJP131096:NKB131096 NTL131096:NTX131096 ODH131096:ODT131096 OND131096:ONP131096 OWZ131096:OXL131096 PGV131096:PHH131096 PQR131096:PRD131096 QAN131096:QAZ131096 QKJ131096:QKV131096 QUF131096:QUR131096 REB131096:REN131096 RNX131096:ROJ131096 RXT131096:RYF131096 SHP131096:SIB131096 SRL131096:SRX131096 TBH131096:TBT131096 TLD131096:TLP131096 TUZ131096:TVL131096 UEV131096:UFH131096 UOR131096:UPD131096 UYN131096:UYZ131096 VIJ131096:VIV131096 VSF131096:VSR131096 WCB131096:WCN131096 WLX131096:WMJ131096 WVT131096:WWF131096 L196632:X196632 JH196632:JT196632 TD196632:TP196632 ACZ196632:ADL196632 AMV196632:ANH196632 AWR196632:AXD196632 BGN196632:BGZ196632 BQJ196632:BQV196632 CAF196632:CAR196632 CKB196632:CKN196632 CTX196632:CUJ196632 DDT196632:DEF196632 DNP196632:DOB196632 DXL196632:DXX196632 EHH196632:EHT196632 ERD196632:ERP196632 FAZ196632:FBL196632 FKV196632:FLH196632 FUR196632:FVD196632 GEN196632:GEZ196632 GOJ196632:GOV196632 GYF196632:GYR196632 HIB196632:HIN196632 HRX196632:HSJ196632 IBT196632:ICF196632 ILP196632:IMB196632 IVL196632:IVX196632 JFH196632:JFT196632 JPD196632:JPP196632 JYZ196632:JZL196632 KIV196632:KJH196632 KSR196632:KTD196632 LCN196632:LCZ196632 LMJ196632:LMV196632 LWF196632:LWR196632 MGB196632:MGN196632 MPX196632:MQJ196632 MZT196632:NAF196632 NJP196632:NKB196632 NTL196632:NTX196632 ODH196632:ODT196632 OND196632:ONP196632 OWZ196632:OXL196632 PGV196632:PHH196632 PQR196632:PRD196632 QAN196632:QAZ196632 QKJ196632:QKV196632 QUF196632:QUR196632 REB196632:REN196632 RNX196632:ROJ196632 RXT196632:RYF196632 SHP196632:SIB196632 SRL196632:SRX196632 TBH196632:TBT196632 TLD196632:TLP196632 TUZ196632:TVL196632 UEV196632:UFH196632 UOR196632:UPD196632 UYN196632:UYZ196632 VIJ196632:VIV196632 VSF196632:VSR196632 WCB196632:WCN196632 WLX196632:WMJ196632 WVT196632:WWF196632 L262168:X262168 JH262168:JT262168 TD262168:TP262168 ACZ262168:ADL262168 AMV262168:ANH262168 AWR262168:AXD262168 BGN262168:BGZ262168 BQJ262168:BQV262168 CAF262168:CAR262168 CKB262168:CKN262168 CTX262168:CUJ262168 DDT262168:DEF262168 DNP262168:DOB262168 DXL262168:DXX262168 EHH262168:EHT262168 ERD262168:ERP262168 FAZ262168:FBL262168 FKV262168:FLH262168 FUR262168:FVD262168 GEN262168:GEZ262168 GOJ262168:GOV262168 GYF262168:GYR262168 HIB262168:HIN262168 HRX262168:HSJ262168 IBT262168:ICF262168 ILP262168:IMB262168 IVL262168:IVX262168 JFH262168:JFT262168 JPD262168:JPP262168 JYZ262168:JZL262168 KIV262168:KJH262168 KSR262168:KTD262168 LCN262168:LCZ262168 LMJ262168:LMV262168 LWF262168:LWR262168 MGB262168:MGN262168 MPX262168:MQJ262168 MZT262168:NAF262168 NJP262168:NKB262168 NTL262168:NTX262168 ODH262168:ODT262168 OND262168:ONP262168 OWZ262168:OXL262168 PGV262168:PHH262168 PQR262168:PRD262168 QAN262168:QAZ262168 QKJ262168:QKV262168 QUF262168:QUR262168 REB262168:REN262168 RNX262168:ROJ262168 RXT262168:RYF262168 SHP262168:SIB262168 SRL262168:SRX262168 TBH262168:TBT262168 TLD262168:TLP262168 TUZ262168:TVL262168 UEV262168:UFH262168 UOR262168:UPD262168 UYN262168:UYZ262168 VIJ262168:VIV262168 VSF262168:VSR262168 WCB262168:WCN262168 WLX262168:WMJ262168 WVT262168:WWF262168 L327704:X327704 JH327704:JT327704 TD327704:TP327704 ACZ327704:ADL327704 AMV327704:ANH327704 AWR327704:AXD327704 BGN327704:BGZ327704 BQJ327704:BQV327704 CAF327704:CAR327704 CKB327704:CKN327704 CTX327704:CUJ327704 DDT327704:DEF327704 DNP327704:DOB327704 DXL327704:DXX327704 EHH327704:EHT327704 ERD327704:ERP327704 FAZ327704:FBL327704 FKV327704:FLH327704 FUR327704:FVD327704 GEN327704:GEZ327704 GOJ327704:GOV327704 GYF327704:GYR327704 HIB327704:HIN327704 HRX327704:HSJ327704 IBT327704:ICF327704 ILP327704:IMB327704 IVL327704:IVX327704 JFH327704:JFT327704 JPD327704:JPP327704 JYZ327704:JZL327704 KIV327704:KJH327704 KSR327704:KTD327704 LCN327704:LCZ327704 LMJ327704:LMV327704 LWF327704:LWR327704 MGB327704:MGN327704 MPX327704:MQJ327704 MZT327704:NAF327704 NJP327704:NKB327704 NTL327704:NTX327704 ODH327704:ODT327704 OND327704:ONP327704 OWZ327704:OXL327704 PGV327704:PHH327704 PQR327704:PRD327704 QAN327704:QAZ327704 QKJ327704:QKV327704 QUF327704:QUR327704 REB327704:REN327704 RNX327704:ROJ327704 RXT327704:RYF327704 SHP327704:SIB327704 SRL327704:SRX327704 TBH327704:TBT327704 TLD327704:TLP327704 TUZ327704:TVL327704 UEV327704:UFH327704 UOR327704:UPD327704 UYN327704:UYZ327704 VIJ327704:VIV327704 VSF327704:VSR327704 WCB327704:WCN327704 WLX327704:WMJ327704 WVT327704:WWF327704 L393240:X393240 JH393240:JT393240 TD393240:TP393240 ACZ393240:ADL393240 AMV393240:ANH393240 AWR393240:AXD393240 BGN393240:BGZ393240 BQJ393240:BQV393240 CAF393240:CAR393240 CKB393240:CKN393240 CTX393240:CUJ393240 DDT393240:DEF393240 DNP393240:DOB393240 DXL393240:DXX393240 EHH393240:EHT393240 ERD393240:ERP393240 FAZ393240:FBL393240 FKV393240:FLH393240 FUR393240:FVD393240 GEN393240:GEZ393240 GOJ393240:GOV393240 GYF393240:GYR393240 HIB393240:HIN393240 HRX393240:HSJ393240 IBT393240:ICF393240 ILP393240:IMB393240 IVL393240:IVX393240 JFH393240:JFT393240 JPD393240:JPP393240 JYZ393240:JZL393240 KIV393240:KJH393240 KSR393240:KTD393240 LCN393240:LCZ393240 LMJ393240:LMV393240 LWF393240:LWR393240 MGB393240:MGN393240 MPX393240:MQJ393240 MZT393240:NAF393240 NJP393240:NKB393240 NTL393240:NTX393240 ODH393240:ODT393240 OND393240:ONP393240 OWZ393240:OXL393240 PGV393240:PHH393240 PQR393240:PRD393240 QAN393240:QAZ393240 QKJ393240:QKV393240 QUF393240:QUR393240 REB393240:REN393240 RNX393240:ROJ393240 RXT393240:RYF393240 SHP393240:SIB393240 SRL393240:SRX393240 TBH393240:TBT393240 TLD393240:TLP393240 TUZ393240:TVL393240 UEV393240:UFH393240 UOR393240:UPD393240 UYN393240:UYZ393240 VIJ393240:VIV393240 VSF393240:VSR393240 WCB393240:WCN393240 WLX393240:WMJ393240 WVT393240:WWF393240 L458776:X458776 JH458776:JT458776 TD458776:TP458776 ACZ458776:ADL458776 AMV458776:ANH458776 AWR458776:AXD458776 BGN458776:BGZ458776 BQJ458776:BQV458776 CAF458776:CAR458776 CKB458776:CKN458776 CTX458776:CUJ458776 DDT458776:DEF458776 DNP458776:DOB458776 DXL458776:DXX458776 EHH458776:EHT458776 ERD458776:ERP458776 FAZ458776:FBL458776 FKV458776:FLH458776 FUR458776:FVD458776 GEN458776:GEZ458776 GOJ458776:GOV458776 GYF458776:GYR458776 HIB458776:HIN458776 HRX458776:HSJ458776 IBT458776:ICF458776 ILP458776:IMB458776 IVL458776:IVX458776 JFH458776:JFT458776 JPD458776:JPP458776 JYZ458776:JZL458776 KIV458776:KJH458776 KSR458776:KTD458776 LCN458776:LCZ458776 LMJ458776:LMV458776 LWF458776:LWR458776 MGB458776:MGN458776 MPX458776:MQJ458776 MZT458776:NAF458776 NJP458776:NKB458776 NTL458776:NTX458776 ODH458776:ODT458776 OND458776:ONP458776 OWZ458776:OXL458776 PGV458776:PHH458776 PQR458776:PRD458776 QAN458776:QAZ458776 QKJ458776:QKV458776 QUF458776:QUR458776 REB458776:REN458776 RNX458776:ROJ458776 RXT458776:RYF458776 SHP458776:SIB458776 SRL458776:SRX458776 TBH458776:TBT458776 TLD458776:TLP458776 TUZ458776:TVL458776 UEV458776:UFH458776 UOR458776:UPD458776 UYN458776:UYZ458776 VIJ458776:VIV458776 VSF458776:VSR458776 WCB458776:WCN458776 WLX458776:WMJ458776 WVT458776:WWF458776 L524312:X524312 JH524312:JT524312 TD524312:TP524312 ACZ524312:ADL524312 AMV524312:ANH524312 AWR524312:AXD524312 BGN524312:BGZ524312 BQJ524312:BQV524312 CAF524312:CAR524312 CKB524312:CKN524312 CTX524312:CUJ524312 DDT524312:DEF524312 DNP524312:DOB524312 DXL524312:DXX524312 EHH524312:EHT524312 ERD524312:ERP524312 FAZ524312:FBL524312 FKV524312:FLH524312 FUR524312:FVD524312 GEN524312:GEZ524312 GOJ524312:GOV524312 GYF524312:GYR524312 HIB524312:HIN524312 HRX524312:HSJ524312 IBT524312:ICF524312 ILP524312:IMB524312 IVL524312:IVX524312 JFH524312:JFT524312 JPD524312:JPP524312 JYZ524312:JZL524312 KIV524312:KJH524312 KSR524312:KTD524312 LCN524312:LCZ524312 LMJ524312:LMV524312 LWF524312:LWR524312 MGB524312:MGN524312 MPX524312:MQJ524312 MZT524312:NAF524312 NJP524312:NKB524312 NTL524312:NTX524312 ODH524312:ODT524312 OND524312:ONP524312 OWZ524312:OXL524312 PGV524312:PHH524312 PQR524312:PRD524312 QAN524312:QAZ524312 QKJ524312:QKV524312 QUF524312:QUR524312 REB524312:REN524312 RNX524312:ROJ524312 RXT524312:RYF524312 SHP524312:SIB524312 SRL524312:SRX524312 TBH524312:TBT524312 TLD524312:TLP524312 TUZ524312:TVL524312 UEV524312:UFH524312 UOR524312:UPD524312 UYN524312:UYZ524312 VIJ524312:VIV524312 VSF524312:VSR524312 WCB524312:WCN524312 WLX524312:WMJ524312 WVT524312:WWF524312 L589848:X589848 JH589848:JT589848 TD589848:TP589848 ACZ589848:ADL589848 AMV589848:ANH589848 AWR589848:AXD589848 BGN589848:BGZ589848 BQJ589848:BQV589848 CAF589848:CAR589848 CKB589848:CKN589848 CTX589848:CUJ589848 DDT589848:DEF589848 DNP589848:DOB589848 DXL589848:DXX589848 EHH589848:EHT589848 ERD589848:ERP589848 FAZ589848:FBL589848 FKV589848:FLH589848 FUR589848:FVD589848 GEN589848:GEZ589848 GOJ589848:GOV589848 GYF589848:GYR589848 HIB589848:HIN589848 HRX589848:HSJ589848 IBT589848:ICF589848 ILP589848:IMB589848 IVL589848:IVX589848 JFH589848:JFT589848 JPD589848:JPP589848 JYZ589848:JZL589848 KIV589848:KJH589848 KSR589848:KTD589848 LCN589848:LCZ589848 LMJ589848:LMV589848 LWF589848:LWR589848 MGB589848:MGN589848 MPX589848:MQJ589848 MZT589848:NAF589848 NJP589848:NKB589848 NTL589848:NTX589848 ODH589848:ODT589848 OND589848:ONP589848 OWZ589848:OXL589848 PGV589848:PHH589848 PQR589848:PRD589848 QAN589848:QAZ589848 QKJ589848:QKV589848 QUF589848:QUR589848 REB589848:REN589848 RNX589848:ROJ589848 RXT589848:RYF589848 SHP589848:SIB589848 SRL589848:SRX589848 TBH589848:TBT589848 TLD589848:TLP589848 TUZ589848:TVL589848 UEV589848:UFH589848 UOR589848:UPD589848 UYN589848:UYZ589848 VIJ589848:VIV589848 VSF589848:VSR589848 WCB589848:WCN589848 WLX589848:WMJ589848 WVT589848:WWF589848 L655384:X655384 JH655384:JT655384 TD655384:TP655384 ACZ655384:ADL655384 AMV655384:ANH655384 AWR655384:AXD655384 BGN655384:BGZ655384 BQJ655384:BQV655384 CAF655384:CAR655384 CKB655384:CKN655384 CTX655384:CUJ655384 DDT655384:DEF655384 DNP655384:DOB655384 DXL655384:DXX655384 EHH655384:EHT655384 ERD655384:ERP655384 FAZ655384:FBL655384 FKV655384:FLH655384 FUR655384:FVD655384 GEN655384:GEZ655384 GOJ655384:GOV655384 GYF655384:GYR655384 HIB655384:HIN655384 HRX655384:HSJ655384 IBT655384:ICF655384 ILP655384:IMB655384 IVL655384:IVX655384 JFH655384:JFT655384 JPD655384:JPP655384 JYZ655384:JZL655384 KIV655384:KJH655384 KSR655384:KTD655384 LCN655384:LCZ655384 LMJ655384:LMV655384 LWF655384:LWR655384 MGB655384:MGN655384 MPX655384:MQJ655384 MZT655384:NAF655384 NJP655384:NKB655384 NTL655384:NTX655384 ODH655384:ODT655384 OND655384:ONP655384 OWZ655384:OXL655384 PGV655384:PHH655384 PQR655384:PRD655384 QAN655384:QAZ655384 QKJ655384:QKV655384 QUF655384:QUR655384 REB655384:REN655384 RNX655384:ROJ655384 RXT655384:RYF655384 SHP655384:SIB655384 SRL655384:SRX655384 TBH655384:TBT655384 TLD655384:TLP655384 TUZ655384:TVL655384 UEV655384:UFH655384 UOR655384:UPD655384 UYN655384:UYZ655384 VIJ655384:VIV655384 VSF655384:VSR655384 WCB655384:WCN655384 WLX655384:WMJ655384 WVT655384:WWF655384 L720920:X720920 JH720920:JT720920 TD720920:TP720920 ACZ720920:ADL720920 AMV720920:ANH720920 AWR720920:AXD720920 BGN720920:BGZ720920 BQJ720920:BQV720920 CAF720920:CAR720920 CKB720920:CKN720920 CTX720920:CUJ720920 DDT720920:DEF720920 DNP720920:DOB720920 DXL720920:DXX720920 EHH720920:EHT720920 ERD720920:ERP720920 FAZ720920:FBL720920 FKV720920:FLH720920 FUR720920:FVD720920 GEN720920:GEZ720920 GOJ720920:GOV720920 GYF720920:GYR720920 HIB720920:HIN720920 HRX720920:HSJ720920 IBT720920:ICF720920 ILP720920:IMB720920 IVL720920:IVX720920 JFH720920:JFT720920 JPD720920:JPP720920 JYZ720920:JZL720920 KIV720920:KJH720920 KSR720920:KTD720920 LCN720920:LCZ720920 LMJ720920:LMV720920 LWF720920:LWR720920 MGB720920:MGN720920 MPX720920:MQJ720920 MZT720920:NAF720920 NJP720920:NKB720920 NTL720920:NTX720920 ODH720920:ODT720920 OND720920:ONP720920 OWZ720920:OXL720920 PGV720920:PHH720920 PQR720920:PRD720920 QAN720920:QAZ720920 QKJ720920:QKV720920 QUF720920:QUR720920 REB720920:REN720920 RNX720920:ROJ720920 RXT720920:RYF720920 SHP720920:SIB720920 SRL720920:SRX720920 TBH720920:TBT720920 TLD720920:TLP720920 TUZ720920:TVL720920 UEV720920:UFH720920 UOR720920:UPD720920 UYN720920:UYZ720920 VIJ720920:VIV720920 VSF720920:VSR720920 WCB720920:WCN720920 WLX720920:WMJ720920 WVT720920:WWF720920 L786456:X786456 JH786456:JT786456 TD786456:TP786456 ACZ786456:ADL786456 AMV786456:ANH786456 AWR786456:AXD786456 BGN786456:BGZ786456 BQJ786456:BQV786456 CAF786456:CAR786456 CKB786456:CKN786456 CTX786456:CUJ786456 DDT786456:DEF786456 DNP786456:DOB786456 DXL786456:DXX786456 EHH786456:EHT786456 ERD786456:ERP786456 FAZ786456:FBL786456 FKV786456:FLH786456 FUR786456:FVD786456 GEN786456:GEZ786456 GOJ786456:GOV786456 GYF786456:GYR786456 HIB786456:HIN786456 HRX786456:HSJ786456 IBT786456:ICF786456 ILP786456:IMB786456 IVL786456:IVX786456 JFH786456:JFT786456 JPD786456:JPP786456 JYZ786456:JZL786456 KIV786456:KJH786456 KSR786456:KTD786456 LCN786456:LCZ786456 LMJ786456:LMV786456 LWF786456:LWR786456 MGB786456:MGN786456 MPX786456:MQJ786456 MZT786456:NAF786456 NJP786456:NKB786456 NTL786456:NTX786456 ODH786456:ODT786456 OND786456:ONP786456 OWZ786456:OXL786456 PGV786456:PHH786456 PQR786456:PRD786456 QAN786456:QAZ786456 QKJ786456:QKV786456 QUF786456:QUR786456 REB786456:REN786456 RNX786456:ROJ786456 RXT786456:RYF786456 SHP786456:SIB786456 SRL786456:SRX786456 TBH786456:TBT786456 TLD786456:TLP786456 TUZ786456:TVL786456 UEV786456:UFH786456 UOR786456:UPD786456 UYN786456:UYZ786456 VIJ786456:VIV786456 VSF786456:VSR786456 WCB786456:WCN786456 WLX786456:WMJ786456 WVT786456:WWF786456 L851992:X851992 JH851992:JT851992 TD851992:TP851992 ACZ851992:ADL851992 AMV851992:ANH851992 AWR851992:AXD851992 BGN851992:BGZ851992 BQJ851992:BQV851992 CAF851992:CAR851992 CKB851992:CKN851992 CTX851992:CUJ851992 DDT851992:DEF851992 DNP851992:DOB851992 DXL851992:DXX851992 EHH851992:EHT851992 ERD851992:ERP851992 FAZ851992:FBL851992 FKV851992:FLH851992 FUR851992:FVD851992 GEN851992:GEZ851992 GOJ851992:GOV851992 GYF851992:GYR851992 HIB851992:HIN851992 HRX851992:HSJ851992 IBT851992:ICF851992 ILP851992:IMB851992 IVL851992:IVX851992 JFH851992:JFT851992 JPD851992:JPP851992 JYZ851992:JZL851992 KIV851992:KJH851992 KSR851992:KTD851992 LCN851992:LCZ851992 LMJ851992:LMV851992 LWF851992:LWR851992 MGB851992:MGN851992 MPX851992:MQJ851992 MZT851992:NAF851992 NJP851992:NKB851992 NTL851992:NTX851992 ODH851992:ODT851992 OND851992:ONP851992 OWZ851992:OXL851992 PGV851992:PHH851992 PQR851992:PRD851992 QAN851992:QAZ851992 QKJ851992:QKV851992 QUF851992:QUR851992 REB851992:REN851992 RNX851992:ROJ851992 RXT851992:RYF851992 SHP851992:SIB851992 SRL851992:SRX851992 TBH851992:TBT851992 TLD851992:TLP851992 TUZ851992:TVL851992 UEV851992:UFH851992 UOR851992:UPD851992 UYN851992:UYZ851992 VIJ851992:VIV851992 VSF851992:VSR851992 WCB851992:WCN851992 WLX851992:WMJ851992 WVT851992:WWF851992 L917528:X917528 JH917528:JT917528 TD917528:TP917528 ACZ917528:ADL917528 AMV917528:ANH917528 AWR917528:AXD917528 BGN917528:BGZ917528 BQJ917528:BQV917528 CAF917528:CAR917528 CKB917528:CKN917528 CTX917528:CUJ917528 DDT917528:DEF917528 DNP917528:DOB917528 DXL917528:DXX917528 EHH917528:EHT917528 ERD917528:ERP917528 FAZ917528:FBL917528 FKV917528:FLH917528 FUR917528:FVD917528 GEN917528:GEZ917528 GOJ917528:GOV917528 GYF917528:GYR917528 HIB917528:HIN917528 HRX917528:HSJ917528 IBT917528:ICF917528 ILP917528:IMB917528 IVL917528:IVX917528 JFH917528:JFT917528 JPD917528:JPP917528 JYZ917528:JZL917528 KIV917528:KJH917528 KSR917528:KTD917528 LCN917528:LCZ917528 LMJ917528:LMV917528 LWF917528:LWR917528 MGB917528:MGN917528 MPX917528:MQJ917528 MZT917528:NAF917528 NJP917528:NKB917528 NTL917528:NTX917528 ODH917528:ODT917528 OND917528:ONP917528 OWZ917528:OXL917528 PGV917528:PHH917528 PQR917528:PRD917528 QAN917528:QAZ917528 QKJ917528:QKV917528 QUF917528:QUR917528 REB917528:REN917528 RNX917528:ROJ917528 RXT917528:RYF917528 SHP917528:SIB917528 SRL917528:SRX917528 TBH917528:TBT917528 TLD917528:TLP917528 TUZ917528:TVL917528 UEV917528:UFH917528 UOR917528:UPD917528 UYN917528:UYZ917528 VIJ917528:VIV917528 VSF917528:VSR917528 WCB917528:WCN917528 WLX917528:WMJ917528 WVT917528:WWF917528 L983064:X983064 JH983064:JT983064 TD983064:TP983064 ACZ983064:ADL983064 AMV983064:ANH983064 AWR983064:AXD983064 BGN983064:BGZ983064 BQJ983064:BQV983064 CAF983064:CAR983064 CKB983064:CKN983064 CTX983064:CUJ983064 DDT983064:DEF983064 DNP983064:DOB983064 DXL983064:DXX983064 EHH983064:EHT983064 ERD983064:ERP983064 FAZ983064:FBL983064 FKV983064:FLH983064 FUR983064:FVD983064 GEN983064:GEZ983064 GOJ983064:GOV983064 GYF983064:GYR983064 HIB983064:HIN983064 HRX983064:HSJ983064 IBT983064:ICF983064 ILP983064:IMB983064 IVL983064:IVX983064 JFH983064:JFT983064 JPD983064:JPP983064 JYZ983064:JZL983064 KIV983064:KJH983064 KSR983064:KTD983064 LCN983064:LCZ983064 LMJ983064:LMV983064 LWF983064:LWR983064 MGB983064:MGN983064 MPX983064:MQJ983064 MZT983064:NAF983064 NJP983064:NKB983064 NTL983064:NTX983064 ODH983064:ODT983064 OND983064:ONP983064 OWZ983064:OXL983064 PGV983064:PHH983064 PQR983064:PRD983064 QAN983064:QAZ983064 QKJ983064:QKV983064 QUF983064:QUR983064 REB983064:REN983064 RNX983064:ROJ983064 RXT983064:RYF983064 SHP983064:SIB983064 SRL983064:SRX983064 TBH983064:TBT983064 TLD983064:TLP983064 TUZ983064:TVL983064 UEV983064:UFH983064 UOR983064:UPD983064 UYN983064:UYZ983064 VIJ983064:VIV983064 VSF983064:VSR983064 WCB983064:WCN983064 WLX983064:WMJ983064 L25 N25 V25:X25" xr:uid="{62C476DB-B91C-4C12-9E29-D1196F239D75}"/>
    <dataValidation type="list" imeMode="fullAlpha" allowBlank="1" showInputMessage="1" showErrorMessage="1" sqref="F27:F29 JB27:JB29 SX27:SX29 ACT27:ACT29 AMP27:AMP29 AWL27:AWL29 BGH27:BGH29 BQD27:BQD29 BZZ27:BZZ29 CJV27:CJV29 CTR27:CTR29 DDN27:DDN29 DNJ27:DNJ29 DXF27:DXF29 EHB27:EHB29 EQX27:EQX29 FAT27:FAT29 FKP27:FKP29 FUL27:FUL29 GEH27:GEH29 GOD27:GOD29 GXZ27:GXZ29 HHV27:HHV29 HRR27:HRR29 IBN27:IBN29 ILJ27:ILJ29 IVF27:IVF29 JFB27:JFB29 JOX27:JOX29 JYT27:JYT29 KIP27:KIP29 KSL27:KSL29 LCH27:LCH29 LMD27:LMD29 LVZ27:LVZ29 MFV27:MFV29 MPR27:MPR29 MZN27:MZN29 NJJ27:NJJ29 NTF27:NTF29 ODB27:ODB29 OMX27:OMX29 OWT27:OWT29 PGP27:PGP29 PQL27:PQL29 QAH27:QAH29 QKD27:QKD29 QTZ27:QTZ29 RDV27:RDV29 RNR27:RNR29 RXN27:RXN29 SHJ27:SHJ29 SRF27:SRF29 TBB27:TBB29 TKX27:TKX29 TUT27:TUT29 UEP27:UEP29 UOL27:UOL29 UYH27:UYH29 VID27:VID29 VRZ27:VRZ29 WBV27:WBV29 WLR27:WLR29 WVN27:WVN29 F65562:F65564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8:F131100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4:F196636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0:F262172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6:F327708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2:F393244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8:F458780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4:F524316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0:F589852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6:F655388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2:F720924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8:F786460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4:F851996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0:F917532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6:F983068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6:F65569 JB65566:JB65569 SX65566:SX65569 ACT65566:ACT65569 AMP65566:AMP65569 AWL65566:AWL65569 BGH65566:BGH65569 BQD65566:BQD65569 BZZ65566:BZZ65569 CJV65566:CJV65569 CTR65566:CTR65569 DDN65566:DDN65569 DNJ65566:DNJ65569 DXF65566:DXF65569 EHB65566:EHB65569 EQX65566:EQX65569 FAT65566:FAT65569 FKP65566:FKP65569 FUL65566:FUL65569 GEH65566:GEH65569 GOD65566:GOD65569 GXZ65566:GXZ65569 HHV65566:HHV65569 HRR65566:HRR65569 IBN65566:IBN65569 ILJ65566:ILJ65569 IVF65566:IVF65569 JFB65566:JFB65569 JOX65566:JOX65569 JYT65566:JYT65569 KIP65566:KIP65569 KSL65566:KSL65569 LCH65566:LCH65569 LMD65566:LMD65569 LVZ65566:LVZ65569 MFV65566:MFV65569 MPR65566:MPR65569 MZN65566:MZN65569 NJJ65566:NJJ65569 NTF65566:NTF65569 ODB65566:ODB65569 OMX65566:OMX65569 OWT65566:OWT65569 PGP65566:PGP65569 PQL65566:PQL65569 QAH65566:QAH65569 QKD65566:QKD65569 QTZ65566:QTZ65569 RDV65566:RDV65569 RNR65566:RNR65569 RXN65566:RXN65569 SHJ65566:SHJ65569 SRF65566:SRF65569 TBB65566:TBB65569 TKX65566:TKX65569 TUT65566:TUT65569 UEP65566:UEP65569 UOL65566:UOL65569 UYH65566:UYH65569 VID65566:VID65569 VRZ65566:VRZ65569 WBV65566:WBV65569 WLR65566:WLR65569 WVN65566:WVN65569 F131102:F131105 JB131102:JB131105 SX131102:SX131105 ACT131102:ACT131105 AMP131102:AMP131105 AWL131102:AWL131105 BGH131102:BGH131105 BQD131102:BQD131105 BZZ131102:BZZ131105 CJV131102:CJV131105 CTR131102:CTR131105 DDN131102:DDN131105 DNJ131102:DNJ131105 DXF131102:DXF131105 EHB131102:EHB131105 EQX131102:EQX131105 FAT131102:FAT131105 FKP131102:FKP131105 FUL131102:FUL131105 GEH131102:GEH131105 GOD131102:GOD131105 GXZ131102:GXZ131105 HHV131102:HHV131105 HRR131102:HRR131105 IBN131102:IBN131105 ILJ131102:ILJ131105 IVF131102:IVF131105 JFB131102:JFB131105 JOX131102:JOX131105 JYT131102:JYT131105 KIP131102:KIP131105 KSL131102:KSL131105 LCH131102:LCH131105 LMD131102:LMD131105 LVZ131102:LVZ131105 MFV131102:MFV131105 MPR131102:MPR131105 MZN131102:MZN131105 NJJ131102:NJJ131105 NTF131102:NTF131105 ODB131102:ODB131105 OMX131102:OMX131105 OWT131102:OWT131105 PGP131102:PGP131105 PQL131102:PQL131105 QAH131102:QAH131105 QKD131102:QKD131105 QTZ131102:QTZ131105 RDV131102:RDV131105 RNR131102:RNR131105 RXN131102:RXN131105 SHJ131102:SHJ131105 SRF131102:SRF131105 TBB131102:TBB131105 TKX131102:TKX131105 TUT131102:TUT131105 UEP131102:UEP131105 UOL131102:UOL131105 UYH131102:UYH131105 VID131102:VID131105 VRZ131102:VRZ131105 WBV131102:WBV131105 WLR131102:WLR131105 WVN131102:WVN131105 F196638:F196641 JB196638:JB196641 SX196638:SX196641 ACT196638:ACT196641 AMP196638:AMP196641 AWL196638:AWL196641 BGH196638:BGH196641 BQD196638:BQD196641 BZZ196638:BZZ196641 CJV196638:CJV196641 CTR196638:CTR196641 DDN196638:DDN196641 DNJ196638:DNJ196641 DXF196638:DXF196641 EHB196638:EHB196641 EQX196638:EQX196641 FAT196638:FAT196641 FKP196638:FKP196641 FUL196638:FUL196641 GEH196638:GEH196641 GOD196638:GOD196641 GXZ196638:GXZ196641 HHV196638:HHV196641 HRR196638:HRR196641 IBN196638:IBN196641 ILJ196638:ILJ196641 IVF196638:IVF196641 JFB196638:JFB196641 JOX196638:JOX196641 JYT196638:JYT196641 KIP196638:KIP196641 KSL196638:KSL196641 LCH196638:LCH196641 LMD196638:LMD196641 LVZ196638:LVZ196641 MFV196638:MFV196641 MPR196638:MPR196641 MZN196638:MZN196641 NJJ196638:NJJ196641 NTF196638:NTF196641 ODB196638:ODB196641 OMX196638:OMX196641 OWT196638:OWT196641 PGP196638:PGP196641 PQL196638:PQL196641 QAH196638:QAH196641 QKD196638:QKD196641 QTZ196638:QTZ196641 RDV196638:RDV196641 RNR196638:RNR196641 RXN196638:RXN196641 SHJ196638:SHJ196641 SRF196638:SRF196641 TBB196638:TBB196641 TKX196638:TKX196641 TUT196638:TUT196641 UEP196638:UEP196641 UOL196638:UOL196641 UYH196638:UYH196641 VID196638:VID196641 VRZ196638:VRZ196641 WBV196638:WBV196641 WLR196638:WLR196641 WVN196638:WVN196641 F262174:F262177 JB262174:JB262177 SX262174:SX262177 ACT262174:ACT262177 AMP262174:AMP262177 AWL262174:AWL262177 BGH262174:BGH262177 BQD262174:BQD262177 BZZ262174:BZZ262177 CJV262174:CJV262177 CTR262174:CTR262177 DDN262174:DDN262177 DNJ262174:DNJ262177 DXF262174:DXF262177 EHB262174:EHB262177 EQX262174:EQX262177 FAT262174:FAT262177 FKP262174:FKP262177 FUL262174:FUL262177 GEH262174:GEH262177 GOD262174:GOD262177 GXZ262174:GXZ262177 HHV262174:HHV262177 HRR262174:HRR262177 IBN262174:IBN262177 ILJ262174:ILJ262177 IVF262174:IVF262177 JFB262174:JFB262177 JOX262174:JOX262177 JYT262174:JYT262177 KIP262174:KIP262177 KSL262174:KSL262177 LCH262174:LCH262177 LMD262174:LMD262177 LVZ262174:LVZ262177 MFV262174:MFV262177 MPR262174:MPR262177 MZN262174:MZN262177 NJJ262174:NJJ262177 NTF262174:NTF262177 ODB262174:ODB262177 OMX262174:OMX262177 OWT262174:OWT262177 PGP262174:PGP262177 PQL262174:PQL262177 QAH262174:QAH262177 QKD262174:QKD262177 QTZ262174:QTZ262177 RDV262174:RDV262177 RNR262174:RNR262177 RXN262174:RXN262177 SHJ262174:SHJ262177 SRF262174:SRF262177 TBB262174:TBB262177 TKX262174:TKX262177 TUT262174:TUT262177 UEP262174:UEP262177 UOL262174:UOL262177 UYH262174:UYH262177 VID262174:VID262177 VRZ262174:VRZ262177 WBV262174:WBV262177 WLR262174:WLR262177 WVN262174:WVN262177 F327710:F327713 JB327710:JB327713 SX327710:SX327713 ACT327710:ACT327713 AMP327710:AMP327713 AWL327710:AWL327713 BGH327710:BGH327713 BQD327710:BQD327713 BZZ327710:BZZ327713 CJV327710:CJV327713 CTR327710:CTR327713 DDN327710:DDN327713 DNJ327710:DNJ327713 DXF327710:DXF327713 EHB327710:EHB327713 EQX327710:EQX327713 FAT327710:FAT327713 FKP327710:FKP327713 FUL327710:FUL327713 GEH327710:GEH327713 GOD327710:GOD327713 GXZ327710:GXZ327713 HHV327710:HHV327713 HRR327710:HRR327713 IBN327710:IBN327713 ILJ327710:ILJ327713 IVF327710:IVF327713 JFB327710:JFB327713 JOX327710:JOX327713 JYT327710:JYT327713 KIP327710:KIP327713 KSL327710:KSL327713 LCH327710:LCH327713 LMD327710:LMD327713 LVZ327710:LVZ327713 MFV327710:MFV327713 MPR327710:MPR327713 MZN327710:MZN327713 NJJ327710:NJJ327713 NTF327710:NTF327713 ODB327710:ODB327713 OMX327710:OMX327713 OWT327710:OWT327713 PGP327710:PGP327713 PQL327710:PQL327713 QAH327710:QAH327713 QKD327710:QKD327713 QTZ327710:QTZ327713 RDV327710:RDV327713 RNR327710:RNR327713 RXN327710:RXN327713 SHJ327710:SHJ327713 SRF327710:SRF327713 TBB327710:TBB327713 TKX327710:TKX327713 TUT327710:TUT327713 UEP327710:UEP327713 UOL327710:UOL327713 UYH327710:UYH327713 VID327710:VID327713 VRZ327710:VRZ327713 WBV327710:WBV327713 WLR327710:WLR327713 WVN327710:WVN327713 F393246:F393249 JB393246:JB393249 SX393246:SX393249 ACT393246:ACT393249 AMP393246:AMP393249 AWL393246:AWL393249 BGH393246:BGH393249 BQD393246:BQD393249 BZZ393246:BZZ393249 CJV393246:CJV393249 CTR393246:CTR393249 DDN393246:DDN393249 DNJ393246:DNJ393249 DXF393246:DXF393249 EHB393246:EHB393249 EQX393246:EQX393249 FAT393246:FAT393249 FKP393246:FKP393249 FUL393246:FUL393249 GEH393246:GEH393249 GOD393246:GOD393249 GXZ393246:GXZ393249 HHV393246:HHV393249 HRR393246:HRR393249 IBN393246:IBN393249 ILJ393246:ILJ393249 IVF393246:IVF393249 JFB393246:JFB393249 JOX393246:JOX393249 JYT393246:JYT393249 KIP393246:KIP393249 KSL393246:KSL393249 LCH393246:LCH393249 LMD393246:LMD393249 LVZ393246:LVZ393249 MFV393246:MFV393249 MPR393246:MPR393249 MZN393246:MZN393249 NJJ393246:NJJ393249 NTF393246:NTF393249 ODB393246:ODB393249 OMX393246:OMX393249 OWT393246:OWT393249 PGP393246:PGP393249 PQL393246:PQL393249 QAH393246:QAH393249 QKD393246:QKD393249 QTZ393246:QTZ393249 RDV393246:RDV393249 RNR393246:RNR393249 RXN393246:RXN393249 SHJ393246:SHJ393249 SRF393246:SRF393249 TBB393246:TBB393249 TKX393246:TKX393249 TUT393246:TUT393249 UEP393246:UEP393249 UOL393246:UOL393249 UYH393246:UYH393249 VID393246:VID393249 VRZ393246:VRZ393249 WBV393246:WBV393249 WLR393246:WLR393249 WVN393246:WVN393249 F458782:F458785 JB458782:JB458785 SX458782:SX458785 ACT458782:ACT458785 AMP458782:AMP458785 AWL458782:AWL458785 BGH458782:BGH458785 BQD458782:BQD458785 BZZ458782:BZZ458785 CJV458782:CJV458785 CTR458782:CTR458785 DDN458782:DDN458785 DNJ458782:DNJ458785 DXF458782:DXF458785 EHB458782:EHB458785 EQX458782:EQX458785 FAT458782:FAT458785 FKP458782:FKP458785 FUL458782:FUL458785 GEH458782:GEH458785 GOD458782:GOD458785 GXZ458782:GXZ458785 HHV458782:HHV458785 HRR458782:HRR458785 IBN458782:IBN458785 ILJ458782:ILJ458785 IVF458782:IVF458785 JFB458782:JFB458785 JOX458782:JOX458785 JYT458782:JYT458785 KIP458782:KIP458785 KSL458782:KSL458785 LCH458782:LCH458785 LMD458782:LMD458785 LVZ458782:LVZ458785 MFV458782:MFV458785 MPR458782:MPR458785 MZN458782:MZN458785 NJJ458782:NJJ458785 NTF458782:NTF458785 ODB458782:ODB458785 OMX458782:OMX458785 OWT458782:OWT458785 PGP458782:PGP458785 PQL458782:PQL458785 QAH458782:QAH458785 QKD458782:QKD458785 QTZ458782:QTZ458785 RDV458782:RDV458785 RNR458782:RNR458785 RXN458782:RXN458785 SHJ458782:SHJ458785 SRF458782:SRF458785 TBB458782:TBB458785 TKX458782:TKX458785 TUT458782:TUT458785 UEP458782:UEP458785 UOL458782:UOL458785 UYH458782:UYH458785 VID458782:VID458785 VRZ458782:VRZ458785 WBV458782:WBV458785 WLR458782:WLR458785 WVN458782:WVN458785 F524318:F524321 JB524318:JB524321 SX524318:SX524321 ACT524318:ACT524321 AMP524318:AMP524321 AWL524318:AWL524321 BGH524318:BGH524321 BQD524318:BQD524321 BZZ524318:BZZ524321 CJV524318:CJV524321 CTR524318:CTR524321 DDN524318:DDN524321 DNJ524318:DNJ524321 DXF524318:DXF524321 EHB524318:EHB524321 EQX524318:EQX524321 FAT524318:FAT524321 FKP524318:FKP524321 FUL524318:FUL524321 GEH524318:GEH524321 GOD524318:GOD524321 GXZ524318:GXZ524321 HHV524318:HHV524321 HRR524318:HRR524321 IBN524318:IBN524321 ILJ524318:ILJ524321 IVF524318:IVF524321 JFB524318:JFB524321 JOX524318:JOX524321 JYT524318:JYT524321 KIP524318:KIP524321 KSL524318:KSL524321 LCH524318:LCH524321 LMD524318:LMD524321 LVZ524318:LVZ524321 MFV524318:MFV524321 MPR524318:MPR524321 MZN524318:MZN524321 NJJ524318:NJJ524321 NTF524318:NTF524321 ODB524318:ODB524321 OMX524318:OMX524321 OWT524318:OWT524321 PGP524318:PGP524321 PQL524318:PQL524321 QAH524318:QAH524321 QKD524318:QKD524321 QTZ524318:QTZ524321 RDV524318:RDV524321 RNR524318:RNR524321 RXN524318:RXN524321 SHJ524318:SHJ524321 SRF524318:SRF524321 TBB524318:TBB524321 TKX524318:TKX524321 TUT524318:TUT524321 UEP524318:UEP524321 UOL524318:UOL524321 UYH524318:UYH524321 VID524318:VID524321 VRZ524318:VRZ524321 WBV524318:WBV524321 WLR524318:WLR524321 WVN524318:WVN524321 F589854:F589857 JB589854:JB589857 SX589854:SX589857 ACT589854:ACT589857 AMP589854:AMP589857 AWL589854:AWL589857 BGH589854:BGH589857 BQD589854:BQD589857 BZZ589854:BZZ589857 CJV589854:CJV589857 CTR589854:CTR589857 DDN589854:DDN589857 DNJ589854:DNJ589857 DXF589854:DXF589857 EHB589854:EHB589857 EQX589854:EQX589857 FAT589854:FAT589857 FKP589854:FKP589857 FUL589854:FUL589857 GEH589854:GEH589857 GOD589854:GOD589857 GXZ589854:GXZ589857 HHV589854:HHV589857 HRR589854:HRR589857 IBN589854:IBN589857 ILJ589854:ILJ589857 IVF589854:IVF589857 JFB589854:JFB589857 JOX589854:JOX589857 JYT589854:JYT589857 KIP589854:KIP589857 KSL589854:KSL589857 LCH589854:LCH589857 LMD589854:LMD589857 LVZ589854:LVZ589857 MFV589854:MFV589857 MPR589854:MPR589857 MZN589854:MZN589857 NJJ589854:NJJ589857 NTF589854:NTF589857 ODB589854:ODB589857 OMX589854:OMX589857 OWT589854:OWT589857 PGP589854:PGP589857 PQL589854:PQL589857 QAH589854:QAH589857 QKD589854:QKD589857 QTZ589854:QTZ589857 RDV589854:RDV589857 RNR589854:RNR589857 RXN589854:RXN589857 SHJ589854:SHJ589857 SRF589854:SRF589857 TBB589854:TBB589857 TKX589854:TKX589857 TUT589854:TUT589857 UEP589854:UEP589857 UOL589854:UOL589857 UYH589854:UYH589857 VID589854:VID589857 VRZ589854:VRZ589857 WBV589854:WBV589857 WLR589854:WLR589857 WVN589854:WVN589857 F655390:F655393 JB655390:JB655393 SX655390:SX655393 ACT655390:ACT655393 AMP655390:AMP655393 AWL655390:AWL655393 BGH655390:BGH655393 BQD655390:BQD655393 BZZ655390:BZZ655393 CJV655390:CJV655393 CTR655390:CTR655393 DDN655390:DDN655393 DNJ655390:DNJ655393 DXF655390:DXF655393 EHB655390:EHB655393 EQX655390:EQX655393 FAT655390:FAT655393 FKP655390:FKP655393 FUL655390:FUL655393 GEH655390:GEH655393 GOD655390:GOD655393 GXZ655390:GXZ655393 HHV655390:HHV655393 HRR655390:HRR655393 IBN655390:IBN655393 ILJ655390:ILJ655393 IVF655390:IVF655393 JFB655390:JFB655393 JOX655390:JOX655393 JYT655390:JYT655393 KIP655390:KIP655393 KSL655390:KSL655393 LCH655390:LCH655393 LMD655390:LMD655393 LVZ655390:LVZ655393 MFV655390:MFV655393 MPR655390:MPR655393 MZN655390:MZN655393 NJJ655390:NJJ655393 NTF655390:NTF655393 ODB655390:ODB655393 OMX655390:OMX655393 OWT655390:OWT655393 PGP655390:PGP655393 PQL655390:PQL655393 QAH655390:QAH655393 QKD655390:QKD655393 QTZ655390:QTZ655393 RDV655390:RDV655393 RNR655390:RNR655393 RXN655390:RXN655393 SHJ655390:SHJ655393 SRF655390:SRF655393 TBB655390:TBB655393 TKX655390:TKX655393 TUT655390:TUT655393 UEP655390:UEP655393 UOL655390:UOL655393 UYH655390:UYH655393 VID655390:VID655393 VRZ655390:VRZ655393 WBV655390:WBV655393 WLR655390:WLR655393 WVN655390:WVN655393 F720926:F720929 JB720926:JB720929 SX720926:SX720929 ACT720926:ACT720929 AMP720926:AMP720929 AWL720926:AWL720929 BGH720926:BGH720929 BQD720926:BQD720929 BZZ720926:BZZ720929 CJV720926:CJV720929 CTR720926:CTR720929 DDN720926:DDN720929 DNJ720926:DNJ720929 DXF720926:DXF720929 EHB720926:EHB720929 EQX720926:EQX720929 FAT720926:FAT720929 FKP720926:FKP720929 FUL720926:FUL720929 GEH720926:GEH720929 GOD720926:GOD720929 GXZ720926:GXZ720929 HHV720926:HHV720929 HRR720926:HRR720929 IBN720926:IBN720929 ILJ720926:ILJ720929 IVF720926:IVF720929 JFB720926:JFB720929 JOX720926:JOX720929 JYT720926:JYT720929 KIP720926:KIP720929 KSL720926:KSL720929 LCH720926:LCH720929 LMD720926:LMD720929 LVZ720926:LVZ720929 MFV720926:MFV720929 MPR720926:MPR720929 MZN720926:MZN720929 NJJ720926:NJJ720929 NTF720926:NTF720929 ODB720926:ODB720929 OMX720926:OMX720929 OWT720926:OWT720929 PGP720926:PGP720929 PQL720926:PQL720929 QAH720926:QAH720929 QKD720926:QKD720929 QTZ720926:QTZ720929 RDV720926:RDV720929 RNR720926:RNR720929 RXN720926:RXN720929 SHJ720926:SHJ720929 SRF720926:SRF720929 TBB720926:TBB720929 TKX720926:TKX720929 TUT720926:TUT720929 UEP720926:UEP720929 UOL720926:UOL720929 UYH720926:UYH720929 VID720926:VID720929 VRZ720926:VRZ720929 WBV720926:WBV720929 WLR720926:WLR720929 WVN720926:WVN720929 F786462:F786465 JB786462:JB786465 SX786462:SX786465 ACT786462:ACT786465 AMP786462:AMP786465 AWL786462:AWL786465 BGH786462:BGH786465 BQD786462:BQD786465 BZZ786462:BZZ786465 CJV786462:CJV786465 CTR786462:CTR786465 DDN786462:DDN786465 DNJ786462:DNJ786465 DXF786462:DXF786465 EHB786462:EHB786465 EQX786462:EQX786465 FAT786462:FAT786465 FKP786462:FKP786465 FUL786462:FUL786465 GEH786462:GEH786465 GOD786462:GOD786465 GXZ786462:GXZ786465 HHV786462:HHV786465 HRR786462:HRR786465 IBN786462:IBN786465 ILJ786462:ILJ786465 IVF786462:IVF786465 JFB786462:JFB786465 JOX786462:JOX786465 JYT786462:JYT786465 KIP786462:KIP786465 KSL786462:KSL786465 LCH786462:LCH786465 LMD786462:LMD786465 LVZ786462:LVZ786465 MFV786462:MFV786465 MPR786462:MPR786465 MZN786462:MZN786465 NJJ786462:NJJ786465 NTF786462:NTF786465 ODB786462:ODB786465 OMX786462:OMX786465 OWT786462:OWT786465 PGP786462:PGP786465 PQL786462:PQL786465 QAH786462:QAH786465 QKD786462:QKD786465 QTZ786462:QTZ786465 RDV786462:RDV786465 RNR786462:RNR786465 RXN786462:RXN786465 SHJ786462:SHJ786465 SRF786462:SRF786465 TBB786462:TBB786465 TKX786462:TKX786465 TUT786462:TUT786465 UEP786462:UEP786465 UOL786462:UOL786465 UYH786462:UYH786465 VID786462:VID786465 VRZ786462:VRZ786465 WBV786462:WBV786465 WLR786462:WLR786465 WVN786462:WVN786465 F851998:F852001 JB851998:JB852001 SX851998:SX852001 ACT851998:ACT852001 AMP851998:AMP852001 AWL851998:AWL852001 BGH851998:BGH852001 BQD851998:BQD852001 BZZ851998:BZZ852001 CJV851998:CJV852001 CTR851998:CTR852001 DDN851998:DDN852001 DNJ851998:DNJ852001 DXF851998:DXF852001 EHB851998:EHB852001 EQX851998:EQX852001 FAT851998:FAT852001 FKP851998:FKP852001 FUL851998:FUL852001 GEH851998:GEH852001 GOD851998:GOD852001 GXZ851998:GXZ852001 HHV851998:HHV852001 HRR851998:HRR852001 IBN851998:IBN852001 ILJ851998:ILJ852001 IVF851998:IVF852001 JFB851998:JFB852001 JOX851998:JOX852001 JYT851998:JYT852001 KIP851998:KIP852001 KSL851998:KSL852001 LCH851998:LCH852001 LMD851998:LMD852001 LVZ851998:LVZ852001 MFV851998:MFV852001 MPR851998:MPR852001 MZN851998:MZN852001 NJJ851998:NJJ852001 NTF851998:NTF852001 ODB851998:ODB852001 OMX851998:OMX852001 OWT851998:OWT852001 PGP851998:PGP852001 PQL851998:PQL852001 QAH851998:QAH852001 QKD851998:QKD852001 QTZ851998:QTZ852001 RDV851998:RDV852001 RNR851998:RNR852001 RXN851998:RXN852001 SHJ851998:SHJ852001 SRF851998:SRF852001 TBB851998:TBB852001 TKX851998:TKX852001 TUT851998:TUT852001 UEP851998:UEP852001 UOL851998:UOL852001 UYH851998:UYH852001 VID851998:VID852001 VRZ851998:VRZ852001 WBV851998:WBV852001 WLR851998:WLR852001 WVN851998:WVN852001 F917534:F917537 JB917534:JB917537 SX917534:SX917537 ACT917534:ACT917537 AMP917534:AMP917537 AWL917534:AWL917537 BGH917534:BGH917537 BQD917534:BQD917537 BZZ917534:BZZ917537 CJV917534:CJV917537 CTR917534:CTR917537 DDN917534:DDN917537 DNJ917534:DNJ917537 DXF917534:DXF917537 EHB917534:EHB917537 EQX917534:EQX917537 FAT917534:FAT917537 FKP917534:FKP917537 FUL917534:FUL917537 GEH917534:GEH917537 GOD917534:GOD917537 GXZ917534:GXZ917537 HHV917534:HHV917537 HRR917534:HRR917537 IBN917534:IBN917537 ILJ917534:ILJ917537 IVF917534:IVF917537 JFB917534:JFB917537 JOX917534:JOX917537 JYT917534:JYT917537 KIP917534:KIP917537 KSL917534:KSL917537 LCH917534:LCH917537 LMD917534:LMD917537 LVZ917534:LVZ917537 MFV917534:MFV917537 MPR917534:MPR917537 MZN917534:MZN917537 NJJ917534:NJJ917537 NTF917534:NTF917537 ODB917534:ODB917537 OMX917534:OMX917537 OWT917534:OWT917537 PGP917534:PGP917537 PQL917534:PQL917537 QAH917534:QAH917537 QKD917534:QKD917537 QTZ917534:QTZ917537 RDV917534:RDV917537 RNR917534:RNR917537 RXN917534:RXN917537 SHJ917534:SHJ917537 SRF917534:SRF917537 TBB917534:TBB917537 TKX917534:TKX917537 TUT917534:TUT917537 UEP917534:UEP917537 UOL917534:UOL917537 UYH917534:UYH917537 VID917534:VID917537 VRZ917534:VRZ917537 WBV917534:WBV917537 WLR917534:WLR917537 WVN917534:WVN917537 F983070:F983073 JB983070:JB983073 SX983070:SX983073 ACT983070:ACT983073 AMP983070:AMP983073 AWL983070:AWL983073 BGH983070:BGH983073 BQD983070:BQD983073 BZZ983070:BZZ983073 CJV983070:CJV983073 CTR983070:CTR983073 DDN983070:DDN983073 DNJ983070:DNJ983073 DXF983070:DXF983073 EHB983070:EHB983073 EQX983070:EQX983073 FAT983070:FAT983073 FKP983070:FKP983073 FUL983070:FUL983073 GEH983070:GEH983073 GOD983070:GOD983073 GXZ983070:GXZ983073 HHV983070:HHV983073 HRR983070:HRR983073 IBN983070:IBN983073 ILJ983070:ILJ983073 IVF983070:IVF983073 JFB983070:JFB983073 JOX983070:JOX983073 JYT983070:JYT983073 KIP983070:KIP983073 KSL983070:KSL983073 LCH983070:LCH983073 LMD983070:LMD983073 LVZ983070:LVZ983073 MFV983070:MFV983073 MPR983070:MPR983073 MZN983070:MZN983073 NJJ983070:NJJ983073 NTF983070:NTF983073 ODB983070:ODB983073 OMX983070:OMX983073 OWT983070:OWT983073 PGP983070:PGP983073 PQL983070:PQL983073 QAH983070:QAH983073 QKD983070:QKD983073 QTZ983070:QTZ983073 RDV983070:RDV983073 RNR983070:RNR983073 RXN983070:RXN983073 SHJ983070:SHJ983073 SRF983070:SRF983073 TBB983070:TBB983073 TKX983070:TKX983073 TUT983070:TUT983073 UEP983070:UEP983073 UOL983070:UOL983073 UYH983070:UYH983073 VID983070:VID983073 VRZ983070:VRZ983073 WBV983070:WBV983073 WLR983070:WLR983073 WVN983070:WVN983073" xr:uid="{E783D4FE-BC0E-482F-9CC0-C7C5DF196986}">
      <formula1>$AJ$28:$AJ$29</formula1>
    </dataValidation>
  </dataValidations>
  <pageMargins left="0.78740157480314965" right="0.78740157480314965" top="0.98425196850393704" bottom="0.98425196850393704" header="0.51181102362204722" footer="0.51181102362204722"/>
  <pageSetup paperSize="9" scale="94" orientation="portrait" blackAndWhite="1" horizontalDpi="4294967293" verticalDpi="300" r:id="rId1"/>
  <headerFooter alignWithMargins="0">
    <oddFooter>&amp;LB-01,02,03 取り下げ届.xls&amp;Rｖｅｒ１.2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B6E2-A3D5-4EEE-B3F3-E89876FE1296}">
  <dimension ref="A1:XFC39"/>
  <sheetViews>
    <sheetView view="pageBreakPreview" zoomScaleNormal="100" zoomScaleSheetLayoutView="100" workbookViewId="0"/>
  </sheetViews>
  <sheetFormatPr defaultColWidth="0" defaultRowHeight="20.100000000000001" customHeight="1"/>
  <cols>
    <col min="1" max="1" width="2.625" style="485" customWidth="1"/>
    <col min="2" max="2" width="3" style="485" customWidth="1"/>
    <col min="3" max="3" width="2.625" style="485" customWidth="1"/>
    <col min="4" max="4" width="2.5" style="485" customWidth="1"/>
    <col min="5" max="5" width="2.625" style="485" customWidth="1"/>
    <col min="6" max="6" width="3.125" style="485" customWidth="1"/>
    <col min="7" max="7" width="2.5" style="485" customWidth="1"/>
    <col min="8" max="15" width="2.625" style="485" customWidth="1"/>
    <col min="16" max="16" width="2.875" style="485" customWidth="1"/>
    <col min="17" max="41" width="2.625" style="485" customWidth="1"/>
    <col min="42" max="16383" width="0" style="485" hidden="1" customWidth="1"/>
    <col min="16384" max="16384" width="33.125" style="485" hidden="1" customWidth="1"/>
  </cols>
  <sheetData>
    <row r="1" spans="1:33">
      <c r="B1" s="485" t="s">
        <v>3233</v>
      </c>
      <c r="AG1" s="498" t="s">
        <v>3210</v>
      </c>
    </row>
    <row r="3" spans="1:33">
      <c r="A3" s="1072" t="s">
        <v>3234</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3"/>
    </row>
    <row r="5" spans="1:33">
      <c r="C5" s="485" t="s">
        <v>3235</v>
      </c>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row>
    <row r="6" spans="1:33">
      <c r="C6" s="485" t="s">
        <v>3236</v>
      </c>
    </row>
    <row r="8" spans="1:33">
      <c r="C8" s="497" t="s">
        <v>3114</v>
      </c>
      <c r="E8" s="496"/>
      <c r="F8" s="496"/>
      <c r="G8" s="496"/>
      <c r="H8" s="496"/>
      <c r="I8" s="496"/>
      <c r="M8" s="485" t="s">
        <v>3115</v>
      </c>
    </row>
    <row r="11" spans="1:33">
      <c r="U11" s="668" t="str">
        <f ca="1">TEXT(TODAY(),"ggg")</f>
        <v>令和</v>
      </c>
      <c r="V11" s="668"/>
      <c r="W11" s="1057"/>
      <c r="X11" s="1057"/>
      <c r="Y11" s="668" t="s">
        <v>2822</v>
      </c>
      <c r="Z11" s="1057"/>
      <c r="AA11" s="1057"/>
      <c r="AB11" s="668" t="s">
        <v>2823</v>
      </c>
      <c r="AC11" s="1057"/>
      <c r="AD11" s="1057"/>
      <c r="AE11" s="668" t="s">
        <v>2824</v>
      </c>
    </row>
    <row r="13" spans="1:33">
      <c r="N13" s="491" t="s">
        <v>3116</v>
      </c>
      <c r="O13" s="491"/>
      <c r="P13" s="491"/>
      <c r="Q13" s="491"/>
      <c r="R13" s="491"/>
      <c r="S13" s="491"/>
      <c r="T13" s="491"/>
      <c r="U13" s="491"/>
      <c r="V13" s="491"/>
      <c r="W13" s="491"/>
      <c r="X13" s="491"/>
      <c r="Y13" s="491"/>
      <c r="Z13" s="491"/>
      <c r="AA13" s="491"/>
      <c r="AB13" s="491"/>
      <c r="AC13" s="491"/>
      <c r="AD13" s="491"/>
      <c r="AE13" s="491"/>
      <c r="AF13" s="491"/>
    </row>
    <row r="14" spans="1:33">
      <c r="F14" s="486"/>
      <c r="G14" s="486"/>
      <c r="H14" s="486"/>
      <c r="I14" s="486"/>
      <c r="J14" s="486"/>
      <c r="K14" s="486"/>
      <c r="L14" s="486"/>
      <c r="M14" s="486"/>
      <c r="N14" s="1076" t="str">
        <f>cst_wskakunin_owner1_NAME</f>
        <v>猫山　花子</v>
      </c>
      <c r="O14" s="1076"/>
      <c r="P14" s="1076"/>
      <c r="Q14" s="1076"/>
      <c r="R14" s="1076"/>
      <c r="S14" s="1076"/>
      <c r="T14" s="1076"/>
      <c r="U14" s="1076"/>
      <c r="V14" s="1076"/>
      <c r="W14" s="1076"/>
      <c r="X14" s="1076"/>
      <c r="Y14" s="1076"/>
      <c r="Z14" s="1076"/>
      <c r="AA14" s="1076"/>
      <c r="AB14" s="1076"/>
      <c r="AC14" s="1076"/>
      <c r="AD14" s="1076"/>
      <c r="AE14" s="1076"/>
    </row>
    <row r="15" spans="1:33">
      <c r="N15" s="1076"/>
      <c r="O15" s="1076"/>
      <c r="P15" s="1076"/>
      <c r="Q15" s="1076"/>
      <c r="R15" s="1076"/>
      <c r="S15" s="1076"/>
      <c r="T15" s="1076"/>
      <c r="U15" s="1076"/>
      <c r="V15" s="1076"/>
      <c r="W15" s="1076"/>
      <c r="X15" s="1076"/>
      <c r="Y15" s="1076"/>
      <c r="Z15" s="1076"/>
      <c r="AA15" s="1076"/>
      <c r="AB15" s="1076"/>
      <c r="AC15" s="1076"/>
      <c r="AD15" s="1076"/>
      <c r="AE15" s="1076"/>
    </row>
    <row r="16" spans="1:33">
      <c r="N16" s="485" t="s">
        <v>3117</v>
      </c>
    </row>
    <row r="17" spans="1:36">
      <c r="F17" s="490"/>
      <c r="G17" s="490"/>
      <c r="H17" s="490"/>
      <c r="I17" s="490"/>
      <c r="J17" s="490"/>
      <c r="K17" s="490"/>
      <c r="L17" s="490"/>
      <c r="M17" s="490"/>
      <c r="N17" s="1074" t="str">
        <f>cst_wskakunin_owner1__address</f>
        <v>大阪府茨木市山手台2-2-2</v>
      </c>
      <c r="O17" s="1074"/>
      <c r="P17" s="1074"/>
      <c r="Q17" s="1074"/>
      <c r="R17" s="1074"/>
      <c r="S17" s="1074"/>
      <c r="T17" s="1074"/>
      <c r="U17" s="1074"/>
      <c r="V17" s="1074"/>
      <c r="W17" s="1074"/>
      <c r="X17" s="1074"/>
      <c r="Y17" s="1074"/>
      <c r="Z17" s="1074"/>
      <c r="AA17" s="1074"/>
      <c r="AB17" s="1074"/>
      <c r="AC17" s="1074"/>
      <c r="AD17" s="1074"/>
      <c r="AE17" s="1074"/>
      <c r="AF17" s="490"/>
    </row>
    <row r="18" spans="1:36">
      <c r="A18" s="495"/>
      <c r="B18" s="495"/>
      <c r="C18" s="495"/>
      <c r="D18" s="495"/>
      <c r="E18" s="495"/>
      <c r="F18" s="495"/>
      <c r="G18" s="495"/>
      <c r="H18" s="495"/>
      <c r="I18" s="495"/>
      <c r="J18" s="495"/>
      <c r="K18" s="495"/>
      <c r="L18" s="495"/>
      <c r="M18" s="495"/>
      <c r="N18" s="1075"/>
      <c r="O18" s="1075"/>
      <c r="P18" s="1075"/>
      <c r="Q18" s="1075"/>
      <c r="R18" s="1075"/>
      <c r="S18" s="1075"/>
      <c r="T18" s="1075"/>
      <c r="U18" s="1075"/>
      <c r="V18" s="1075"/>
      <c r="W18" s="1075"/>
      <c r="X18" s="1075"/>
      <c r="Y18" s="1075"/>
      <c r="Z18" s="1075"/>
      <c r="AA18" s="1075"/>
      <c r="AB18" s="1075"/>
      <c r="AC18" s="1075"/>
      <c r="AD18" s="1075"/>
      <c r="AE18" s="1075"/>
      <c r="AF18" s="494"/>
    </row>
    <row r="19" spans="1:36">
      <c r="N19" s="493"/>
      <c r="O19" s="493"/>
      <c r="P19" s="493"/>
      <c r="Q19" s="493"/>
      <c r="R19" s="493"/>
      <c r="S19" s="493"/>
      <c r="T19" s="493"/>
      <c r="U19" s="493"/>
      <c r="V19" s="493"/>
      <c r="W19" s="493"/>
      <c r="X19" s="493"/>
      <c r="Y19" s="493"/>
      <c r="Z19" s="493"/>
      <c r="AA19" s="493"/>
      <c r="AB19" s="493"/>
      <c r="AC19" s="493"/>
      <c r="AD19" s="493"/>
      <c r="AE19" s="493"/>
      <c r="AF19" s="490"/>
    </row>
    <row r="20" spans="1:36">
      <c r="B20" s="1077" t="s">
        <v>3118</v>
      </c>
      <c r="C20" s="1077"/>
      <c r="D20" s="1077"/>
      <c r="E20" s="1077"/>
      <c r="F20" s="1077"/>
      <c r="G20" s="1077"/>
      <c r="H20" s="1077"/>
      <c r="I20" s="1077"/>
      <c r="J20" s="1077"/>
      <c r="K20" s="1077"/>
      <c r="L20" s="1077"/>
      <c r="M20" s="1077"/>
      <c r="N20" s="1077"/>
      <c r="O20" s="1077"/>
      <c r="P20" s="1077"/>
      <c r="Q20" s="1077"/>
      <c r="R20" s="1077"/>
      <c r="S20" s="1077"/>
      <c r="T20" s="1077"/>
      <c r="U20" s="1077"/>
      <c r="V20" s="1077"/>
      <c r="W20" s="1077"/>
      <c r="X20" s="1077"/>
      <c r="Y20" s="1077"/>
      <c r="Z20" s="1077"/>
      <c r="AA20" s="1077"/>
      <c r="AB20" s="1077"/>
      <c r="AC20" s="1077"/>
      <c r="AD20" s="1077"/>
      <c r="AE20" s="1077"/>
      <c r="AF20" s="1077"/>
      <c r="AG20" s="1077"/>
    </row>
    <row r="21" spans="1:36">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row>
    <row r="22" spans="1:36">
      <c r="B22" s="487"/>
      <c r="C22" s="487" t="s">
        <v>3214</v>
      </c>
      <c r="D22" s="485" t="s">
        <v>3120</v>
      </c>
    </row>
    <row r="23" spans="1:36">
      <c r="B23" s="487"/>
      <c r="C23" s="487"/>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c r="AF23" s="491"/>
    </row>
    <row r="24" spans="1:36">
      <c r="B24" s="487"/>
      <c r="C24" s="487" t="s">
        <v>3215</v>
      </c>
      <c r="D24" s="1071" t="s">
        <v>2832</v>
      </c>
      <c r="E24" s="1071"/>
      <c r="F24" s="1071"/>
      <c r="G24" s="1071"/>
      <c r="H24" s="1071"/>
      <c r="I24" s="1071"/>
      <c r="L24" s="677" t="str">
        <f ca="1">TEXT(TODAY(),"ggg")</f>
        <v>令和</v>
      </c>
      <c r="M24" s="677"/>
      <c r="N24" s="1044">
        <f ca="1">cst_shinsei_KAKUNIN_KOUFU_DATE</f>
        <v>45363</v>
      </c>
      <c r="O24" s="1044"/>
      <c r="P24" s="677" t="s">
        <v>2822</v>
      </c>
      <c r="Q24" s="1045">
        <f ca="1">cst_shinsei_KAKUNIN_KOUFU_DATE</f>
        <v>45363</v>
      </c>
      <c r="R24" s="1045"/>
      <c r="S24" s="677" t="s">
        <v>2823</v>
      </c>
      <c r="T24" s="1046">
        <f ca="1">cst_shinsei_KAKUNIN_KOUFU_DATE</f>
        <v>45363</v>
      </c>
      <c r="U24" s="1046"/>
      <c r="V24" s="677" t="s">
        <v>2824</v>
      </c>
    </row>
    <row r="25" spans="1:36">
      <c r="B25" s="487"/>
      <c r="C25" s="487" t="s">
        <v>3217</v>
      </c>
      <c r="D25" s="1071" t="s">
        <v>106</v>
      </c>
      <c r="E25" s="1071"/>
      <c r="F25" s="1071"/>
      <c r="G25" s="1071"/>
      <c r="H25" s="1071"/>
      <c r="I25" s="1071"/>
      <c r="L25" s="1047" t="s">
        <v>3123</v>
      </c>
      <c r="M25" s="1047"/>
      <c r="N25" s="1048" t="str">
        <f ca="1">MID(cst_shinsei_KAKUNIN_ISSUE_NO,2,2)</f>
        <v>05</v>
      </c>
      <c r="O25" s="1048"/>
      <c r="P25" s="1049" t="str">
        <f ca="1">MID(cst_shinsei_KAKUNIN_ISSUE_NO,4,2)</f>
        <v>確認</v>
      </c>
      <c r="Q25" s="1049"/>
      <c r="R25" s="1049" t="str">
        <f ca="1">MID(cst_shinsei_KAKUNIN_ISSUE_NO,6,6)</f>
        <v>建築IPEC</v>
      </c>
      <c r="S25" s="1049"/>
      <c r="T25" s="1049"/>
      <c r="U25" s="1049"/>
      <c r="V25" s="1050" t="str">
        <f ca="1">RIGHT(cst_shinsei_KAKUNIN_ISSUE_NO,5)</f>
        <v>70003</v>
      </c>
      <c r="W25" s="1050"/>
      <c r="X25" s="1050"/>
      <c r="Y25" s="676" t="s">
        <v>2762</v>
      </c>
    </row>
    <row r="26" spans="1:36">
      <c r="B26" s="487"/>
      <c r="C26" s="487" t="s">
        <v>3237</v>
      </c>
      <c r="D26" s="485" t="s">
        <v>3238</v>
      </c>
      <c r="I26" s="666" t="s">
        <v>2745</v>
      </c>
      <c r="J26" s="485" t="s">
        <v>67</v>
      </c>
      <c r="M26" s="488" t="s">
        <v>2868</v>
      </c>
      <c r="N26" s="667" t="s">
        <v>2745</v>
      </c>
      <c r="O26" s="485" t="s">
        <v>3239</v>
      </c>
      <c r="Q26" s="667" t="s">
        <v>2745</v>
      </c>
      <c r="R26" s="485" t="s">
        <v>3240</v>
      </c>
      <c r="T26" s="1078" t="s">
        <v>3241</v>
      </c>
      <c r="U26" s="1078"/>
      <c r="V26" s="1078"/>
      <c r="W26" s="1078"/>
      <c r="X26" s="1078"/>
      <c r="Y26" s="1079"/>
      <c r="Z26" s="1079"/>
      <c r="AA26" s="1079"/>
      <c r="AB26" s="1079"/>
      <c r="AC26" s="489" t="s">
        <v>2902</v>
      </c>
      <c r="AJ26" s="485" t="s">
        <v>2745</v>
      </c>
    </row>
    <row r="27" spans="1:36">
      <c r="B27" s="487"/>
      <c r="C27" s="487"/>
      <c r="I27" s="486"/>
      <c r="T27" s="1078" t="s">
        <v>3242</v>
      </c>
      <c r="U27" s="1078"/>
      <c r="V27" s="1078"/>
      <c r="W27" s="1078"/>
      <c r="X27" s="1078"/>
      <c r="Y27" s="1079"/>
      <c r="Z27" s="1079"/>
      <c r="AA27" s="1079"/>
      <c r="AB27" s="1079"/>
      <c r="AC27" s="489" t="s">
        <v>2902</v>
      </c>
      <c r="AJ27" s="485" t="s">
        <v>2753</v>
      </c>
    </row>
    <row r="28" spans="1:36">
      <c r="B28" s="487"/>
      <c r="I28" s="666" t="s">
        <v>2745</v>
      </c>
      <c r="J28" s="485" t="s">
        <v>2430</v>
      </c>
      <c r="M28" s="488" t="s">
        <v>2868</v>
      </c>
      <c r="N28" s="667" t="s">
        <v>2745</v>
      </c>
      <c r="O28" s="485" t="s">
        <v>3239</v>
      </c>
      <c r="Q28" s="667" t="s">
        <v>2745</v>
      </c>
      <c r="R28" s="485" t="s">
        <v>3240</v>
      </c>
    </row>
    <row r="29" spans="1:36">
      <c r="B29" s="487"/>
      <c r="C29" s="487"/>
      <c r="I29" s="486"/>
    </row>
    <row r="30" spans="1:36">
      <c r="B30" s="487"/>
      <c r="C30" s="487"/>
      <c r="I30" s="666" t="s">
        <v>2745</v>
      </c>
      <c r="J30" s="485" t="s">
        <v>3226</v>
      </c>
      <c r="M30" s="488" t="s">
        <v>2868</v>
      </c>
      <c r="N30" s="667" t="s">
        <v>2745</v>
      </c>
      <c r="O30" s="485" t="s">
        <v>3239</v>
      </c>
      <c r="Q30" s="667" t="s">
        <v>2745</v>
      </c>
      <c r="R30" s="485" t="s">
        <v>3240</v>
      </c>
    </row>
    <row r="31" spans="1:36">
      <c r="B31" s="487"/>
      <c r="C31" s="487"/>
    </row>
    <row r="32" spans="1:36">
      <c r="B32" s="487"/>
      <c r="C32" s="487" t="s">
        <v>3243</v>
      </c>
      <c r="D32" s="485" t="s">
        <v>3244</v>
      </c>
    </row>
    <row r="33" spans="2:33">
      <c r="B33" s="487"/>
      <c r="C33" s="487"/>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row>
    <row r="34" spans="2:33">
      <c r="B34" s="487"/>
      <c r="C34" s="487"/>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row>
    <row r="35" spans="2:33">
      <c r="B35" s="487"/>
      <c r="C35" s="487"/>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row>
    <row r="36" spans="2:33">
      <c r="B36" s="487"/>
      <c r="C36" s="487"/>
      <c r="AA36" s="486"/>
      <c r="AB36" s="486"/>
      <c r="AD36" s="486"/>
      <c r="AE36" s="486"/>
      <c r="AF36" s="486"/>
      <c r="AG36" s="486"/>
    </row>
    <row r="37" spans="2:33">
      <c r="C37" s="485" t="s">
        <v>3104</v>
      </c>
      <c r="D37" s="485">
        <v>1</v>
      </c>
      <c r="E37" s="485" t="s">
        <v>3229</v>
      </c>
    </row>
    <row r="38" spans="2:33">
      <c r="D38" s="485">
        <v>2</v>
      </c>
      <c r="E38" s="485" t="s">
        <v>3230</v>
      </c>
      <c r="H38" s="486" t="s">
        <v>2745</v>
      </c>
      <c r="I38" s="485" t="s">
        <v>3231</v>
      </c>
      <c r="K38" s="485" t="s">
        <v>3232</v>
      </c>
      <c r="V38" s="486"/>
      <c r="W38" s="486"/>
      <c r="X38" s="486"/>
      <c r="Y38" s="486"/>
      <c r="Z38" s="486"/>
    </row>
    <row r="39" spans="2:33">
      <c r="D39" s="485">
        <v>3</v>
      </c>
      <c r="E39" s="485" t="s">
        <v>3245</v>
      </c>
      <c r="H39" s="486"/>
    </row>
  </sheetData>
  <mergeCells count="22">
    <mergeCell ref="T26:X26"/>
    <mergeCell ref="T27:X27"/>
    <mergeCell ref="Y26:AB26"/>
    <mergeCell ref="Y27:AB27"/>
    <mergeCell ref="N24:O24"/>
    <mergeCell ref="Q24:R24"/>
    <mergeCell ref="T24:U24"/>
    <mergeCell ref="D25:I25"/>
    <mergeCell ref="D24:I24"/>
    <mergeCell ref="D23:AE23"/>
    <mergeCell ref="A3:AF3"/>
    <mergeCell ref="W11:X11"/>
    <mergeCell ref="Z11:AA11"/>
    <mergeCell ref="AC11:AD11"/>
    <mergeCell ref="N17:AE18"/>
    <mergeCell ref="N25:O25"/>
    <mergeCell ref="P25:Q25"/>
    <mergeCell ref="R25:U25"/>
    <mergeCell ref="V25:X25"/>
    <mergeCell ref="L25:M25"/>
    <mergeCell ref="N14:AE15"/>
    <mergeCell ref="B20:AG20"/>
  </mergeCells>
  <phoneticPr fontId="7"/>
  <dataValidations count="6">
    <dataValidation imeMode="hiragana" allowBlank="1" showInputMessage="1" showErrorMessage="1" sqref="F36:AB36 JB36:JX36 SX36:TT36 ACT36:ADP36 AMP36:ANL36 AWL36:AXH36 BGH36:BHD36 BQD36:BQZ36 BZZ36:CAV36 CJV36:CKR36 CTR36:CUN36 DDN36:DEJ36 DNJ36:DOF36 DXF36:DYB36 EHB36:EHX36 EQX36:ERT36 FAT36:FBP36 FKP36:FLL36 FUL36:FVH36 GEH36:GFD36 GOD36:GOZ36 GXZ36:GYV36 HHV36:HIR36 HRR36:HSN36 IBN36:ICJ36 ILJ36:IMF36 IVF36:IWB36 JFB36:JFX36 JOX36:JPT36 JYT36:JZP36 KIP36:KJL36 KSL36:KTH36 LCH36:LDD36 LMD36:LMZ36 LVZ36:LWV36 MFV36:MGR36 MPR36:MQN36 MZN36:NAJ36 NJJ36:NKF36 NTF36:NUB36 ODB36:ODX36 OMX36:ONT36 OWT36:OXP36 PGP36:PHL36 PQL36:PRH36 QAH36:QBD36 QKD36:QKZ36 QTZ36:QUV36 RDV36:RER36 RNR36:RON36 RXN36:RYJ36 SHJ36:SIF36 SRF36:SSB36 TBB36:TBX36 TKX36:TLT36 TUT36:TVP36 UEP36:UFL36 UOL36:UPH36 UYH36:UZD36 VID36:VIZ36 VRZ36:VSV36 WBV36:WCR36 WLR36:WMN36 WVN36:WWJ36 F65572:AB65572 JB65572:JX65572 SX65572:TT65572 ACT65572:ADP65572 AMP65572:ANL65572 AWL65572:AXH65572 BGH65572:BHD65572 BQD65572:BQZ65572 BZZ65572:CAV65572 CJV65572:CKR65572 CTR65572:CUN65572 DDN65572:DEJ65572 DNJ65572:DOF65572 DXF65572:DYB65572 EHB65572:EHX65572 EQX65572:ERT65572 FAT65572:FBP65572 FKP65572:FLL65572 FUL65572:FVH65572 GEH65572:GFD65572 GOD65572:GOZ65572 GXZ65572:GYV65572 HHV65572:HIR65572 HRR65572:HSN65572 IBN65572:ICJ65572 ILJ65572:IMF65572 IVF65572:IWB65572 JFB65572:JFX65572 JOX65572:JPT65572 JYT65572:JZP65572 KIP65572:KJL65572 KSL65572:KTH65572 LCH65572:LDD65572 LMD65572:LMZ65572 LVZ65572:LWV65572 MFV65572:MGR65572 MPR65572:MQN65572 MZN65572:NAJ65572 NJJ65572:NKF65572 NTF65572:NUB65572 ODB65572:ODX65572 OMX65572:ONT65572 OWT65572:OXP65572 PGP65572:PHL65572 PQL65572:PRH65572 QAH65572:QBD65572 QKD65572:QKZ65572 QTZ65572:QUV65572 RDV65572:RER65572 RNR65572:RON65572 RXN65572:RYJ65572 SHJ65572:SIF65572 SRF65572:SSB65572 TBB65572:TBX65572 TKX65572:TLT65572 TUT65572:TVP65572 UEP65572:UFL65572 UOL65572:UPH65572 UYH65572:UZD65572 VID65572:VIZ65572 VRZ65572:VSV65572 WBV65572:WCR65572 WLR65572:WMN65572 WVN65572:WWJ65572 F131108:AB131108 JB131108:JX131108 SX131108:TT131108 ACT131108:ADP131108 AMP131108:ANL131108 AWL131108:AXH131108 BGH131108:BHD131108 BQD131108:BQZ131108 BZZ131108:CAV131108 CJV131108:CKR131108 CTR131108:CUN131108 DDN131108:DEJ131108 DNJ131108:DOF131108 DXF131108:DYB131108 EHB131108:EHX131108 EQX131108:ERT131108 FAT131108:FBP131108 FKP131108:FLL131108 FUL131108:FVH131108 GEH131108:GFD131108 GOD131108:GOZ131108 GXZ131108:GYV131108 HHV131108:HIR131108 HRR131108:HSN131108 IBN131108:ICJ131108 ILJ131108:IMF131108 IVF131108:IWB131108 JFB131108:JFX131108 JOX131108:JPT131108 JYT131108:JZP131108 KIP131108:KJL131108 KSL131108:KTH131108 LCH131108:LDD131108 LMD131108:LMZ131108 LVZ131108:LWV131108 MFV131108:MGR131108 MPR131108:MQN131108 MZN131108:NAJ131108 NJJ131108:NKF131108 NTF131108:NUB131108 ODB131108:ODX131108 OMX131108:ONT131108 OWT131108:OXP131108 PGP131108:PHL131108 PQL131108:PRH131108 QAH131108:QBD131108 QKD131108:QKZ131108 QTZ131108:QUV131108 RDV131108:RER131108 RNR131108:RON131108 RXN131108:RYJ131108 SHJ131108:SIF131108 SRF131108:SSB131108 TBB131108:TBX131108 TKX131108:TLT131108 TUT131108:TVP131108 UEP131108:UFL131108 UOL131108:UPH131108 UYH131108:UZD131108 VID131108:VIZ131108 VRZ131108:VSV131108 WBV131108:WCR131108 WLR131108:WMN131108 WVN131108:WWJ131108 F196644:AB196644 JB196644:JX196644 SX196644:TT196644 ACT196644:ADP196644 AMP196644:ANL196644 AWL196644:AXH196644 BGH196644:BHD196644 BQD196644:BQZ196644 BZZ196644:CAV196644 CJV196644:CKR196644 CTR196644:CUN196644 DDN196644:DEJ196644 DNJ196644:DOF196644 DXF196644:DYB196644 EHB196644:EHX196644 EQX196644:ERT196644 FAT196644:FBP196644 FKP196644:FLL196644 FUL196644:FVH196644 GEH196644:GFD196644 GOD196644:GOZ196644 GXZ196644:GYV196644 HHV196644:HIR196644 HRR196644:HSN196644 IBN196644:ICJ196644 ILJ196644:IMF196644 IVF196644:IWB196644 JFB196644:JFX196644 JOX196644:JPT196644 JYT196644:JZP196644 KIP196644:KJL196644 KSL196644:KTH196644 LCH196644:LDD196644 LMD196644:LMZ196644 LVZ196644:LWV196644 MFV196644:MGR196644 MPR196644:MQN196644 MZN196644:NAJ196644 NJJ196644:NKF196644 NTF196644:NUB196644 ODB196644:ODX196644 OMX196644:ONT196644 OWT196644:OXP196644 PGP196644:PHL196644 PQL196644:PRH196644 QAH196644:QBD196644 QKD196644:QKZ196644 QTZ196644:QUV196644 RDV196644:RER196644 RNR196644:RON196644 RXN196644:RYJ196644 SHJ196644:SIF196644 SRF196644:SSB196644 TBB196644:TBX196644 TKX196644:TLT196644 TUT196644:TVP196644 UEP196644:UFL196644 UOL196644:UPH196644 UYH196644:UZD196644 VID196644:VIZ196644 VRZ196644:VSV196644 WBV196644:WCR196644 WLR196644:WMN196644 WVN196644:WWJ196644 F262180:AB262180 JB262180:JX262180 SX262180:TT262180 ACT262180:ADP262180 AMP262180:ANL262180 AWL262180:AXH262180 BGH262180:BHD262180 BQD262180:BQZ262180 BZZ262180:CAV262180 CJV262180:CKR262180 CTR262180:CUN262180 DDN262180:DEJ262180 DNJ262180:DOF262180 DXF262180:DYB262180 EHB262180:EHX262180 EQX262180:ERT262180 FAT262180:FBP262180 FKP262180:FLL262180 FUL262180:FVH262180 GEH262180:GFD262180 GOD262180:GOZ262180 GXZ262180:GYV262180 HHV262180:HIR262180 HRR262180:HSN262180 IBN262180:ICJ262180 ILJ262180:IMF262180 IVF262180:IWB262180 JFB262180:JFX262180 JOX262180:JPT262180 JYT262180:JZP262180 KIP262180:KJL262180 KSL262180:KTH262180 LCH262180:LDD262180 LMD262180:LMZ262180 LVZ262180:LWV262180 MFV262180:MGR262180 MPR262180:MQN262180 MZN262180:NAJ262180 NJJ262180:NKF262180 NTF262180:NUB262180 ODB262180:ODX262180 OMX262180:ONT262180 OWT262180:OXP262180 PGP262180:PHL262180 PQL262180:PRH262180 QAH262180:QBD262180 QKD262180:QKZ262180 QTZ262180:QUV262180 RDV262180:RER262180 RNR262180:RON262180 RXN262180:RYJ262180 SHJ262180:SIF262180 SRF262180:SSB262180 TBB262180:TBX262180 TKX262180:TLT262180 TUT262180:TVP262180 UEP262180:UFL262180 UOL262180:UPH262180 UYH262180:UZD262180 VID262180:VIZ262180 VRZ262180:VSV262180 WBV262180:WCR262180 WLR262180:WMN262180 WVN262180:WWJ262180 F327716:AB327716 JB327716:JX327716 SX327716:TT327716 ACT327716:ADP327716 AMP327716:ANL327716 AWL327716:AXH327716 BGH327716:BHD327716 BQD327716:BQZ327716 BZZ327716:CAV327716 CJV327716:CKR327716 CTR327716:CUN327716 DDN327716:DEJ327716 DNJ327716:DOF327716 DXF327716:DYB327716 EHB327716:EHX327716 EQX327716:ERT327716 FAT327716:FBP327716 FKP327716:FLL327716 FUL327716:FVH327716 GEH327716:GFD327716 GOD327716:GOZ327716 GXZ327716:GYV327716 HHV327716:HIR327716 HRR327716:HSN327716 IBN327716:ICJ327716 ILJ327716:IMF327716 IVF327716:IWB327716 JFB327716:JFX327716 JOX327716:JPT327716 JYT327716:JZP327716 KIP327716:KJL327716 KSL327716:KTH327716 LCH327716:LDD327716 LMD327716:LMZ327716 LVZ327716:LWV327716 MFV327716:MGR327716 MPR327716:MQN327716 MZN327716:NAJ327716 NJJ327716:NKF327716 NTF327716:NUB327716 ODB327716:ODX327716 OMX327716:ONT327716 OWT327716:OXP327716 PGP327716:PHL327716 PQL327716:PRH327716 QAH327716:QBD327716 QKD327716:QKZ327716 QTZ327716:QUV327716 RDV327716:RER327716 RNR327716:RON327716 RXN327716:RYJ327716 SHJ327716:SIF327716 SRF327716:SSB327716 TBB327716:TBX327716 TKX327716:TLT327716 TUT327716:TVP327716 UEP327716:UFL327716 UOL327716:UPH327716 UYH327716:UZD327716 VID327716:VIZ327716 VRZ327716:VSV327716 WBV327716:WCR327716 WLR327716:WMN327716 WVN327716:WWJ327716 F393252:AB393252 JB393252:JX393252 SX393252:TT393252 ACT393252:ADP393252 AMP393252:ANL393252 AWL393252:AXH393252 BGH393252:BHD393252 BQD393252:BQZ393252 BZZ393252:CAV393252 CJV393252:CKR393252 CTR393252:CUN393252 DDN393252:DEJ393252 DNJ393252:DOF393252 DXF393252:DYB393252 EHB393252:EHX393252 EQX393252:ERT393252 FAT393252:FBP393252 FKP393252:FLL393252 FUL393252:FVH393252 GEH393252:GFD393252 GOD393252:GOZ393252 GXZ393252:GYV393252 HHV393252:HIR393252 HRR393252:HSN393252 IBN393252:ICJ393252 ILJ393252:IMF393252 IVF393252:IWB393252 JFB393252:JFX393252 JOX393252:JPT393252 JYT393252:JZP393252 KIP393252:KJL393252 KSL393252:KTH393252 LCH393252:LDD393252 LMD393252:LMZ393252 LVZ393252:LWV393252 MFV393252:MGR393252 MPR393252:MQN393252 MZN393252:NAJ393252 NJJ393252:NKF393252 NTF393252:NUB393252 ODB393252:ODX393252 OMX393252:ONT393252 OWT393252:OXP393252 PGP393252:PHL393252 PQL393252:PRH393252 QAH393252:QBD393252 QKD393252:QKZ393252 QTZ393252:QUV393252 RDV393252:RER393252 RNR393252:RON393252 RXN393252:RYJ393252 SHJ393252:SIF393252 SRF393252:SSB393252 TBB393252:TBX393252 TKX393252:TLT393252 TUT393252:TVP393252 UEP393252:UFL393252 UOL393252:UPH393252 UYH393252:UZD393252 VID393252:VIZ393252 VRZ393252:VSV393252 WBV393252:WCR393252 WLR393252:WMN393252 WVN393252:WWJ393252 F458788:AB458788 JB458788:JX458788 SX458788:TT458788 ACT458788:ADP458788 AMP458788:ANL458788 AWL458788:AXH458788 BGH458788:BHD458788 BQD458788:BQZ458788 BZZ458788:CAV458788 CJV458788:CKR458788 CTR458788:CUN458788 DDN458788:DEJ458788 DNJ458788:DOF458788 DXF458788:DYB458788 EHB458788:EHX458788 EQX458788:ERT458788 FAT458788:FBP458788 FKP458788:FLL458788 FUL458788:FVH458788 GEH458788:GFD458788 GOD458788:GOZ458788 GXZ458788:GYV458788 HHV458788:HIR458788 HRR458788:HSN458788 IBN458788:ICJ458788 ILJ458788:IMF458788 IVF458788:IWB458788 JFB458788:JFX458788 JOX458788:JPT458788 JYT458788:JZP458788 KIP458788:KJL458788 KSL458788:KTH458788 LCH458788:LDD458788 LMD458788:LMZ458788 LVZ458788:LWV458788 MFV458788:MGR458788 MPR458788:MQN458788 MZN458788:NAJ458788 NJJ458788:NKF458788 NTF458788:NUB458788 ODB458788:ODX458788 OMX458788:ONT458788 OWT458788:OXP458788 PGP458788:PHL458788 PQL458788:PRH458788 QAH458788:QBD458788 QKD458788:QKZ458788 QTZ458788:QUV458788 RDV458788:RER458788 RNR458788:RON458788 RXN458788:RYJ458788 SHJ458788:SIF458788 SRF458788:SSB458788 TBB458788:TBX458788 TKX458788:TLT458788 TUT458788:TVP458788 UEP458788:UFL458788 UOL458788:UPH458788 UYH458788:UZD458788 VID458788:VIZ458788 VRZ458788:VSV458788 WBV458788:WCR458788 WLR458788:WMN458788 WVN458788:WWJ458788 F524324:AB524324 JB524324:JX524324 SX524324:TT524324 ACT524324:ADP524324 AMP524324:ANL524324 AWL524324:AXH524324 BGH524324:BHD524324 BQD524324:BQZ524324 BZZ524324:CAV524324 CJV524324:CKR524324 CTR524324:CUN524324 DDN524324:DEJ524324 DNJ524324:DOF524324 DXF524324:DYB524324 EHB524324:EHX524324 EQX524324:ERT524324 FAT524324:FBP524324 FKP524324:FLL524324 FUL524324:FVH524324 GEH524324:GFD524324 GOD524324:GOZ524324 GXZ524324:GYV524324 HHV524324:HIR524324 HRR524324:HSN524324 IBN524324:ICJ524324 ILJ524324:IMF524324 IVF524324:IWB524324 JFB524324:JFX524324 JOX524324:JPT524324 JYT524324:JZP524324 KIP524324:KJL524324 KSL524324:KTH524324 LCH524324:LDD524324 LMD524324:LMZ524324 LVZ524324:LWV524324 MFV524324:MGR524324 MPR524324:MQN524324 MZN524324:NAJ524324 NJJ524324:NKF524324 NTF524324:NUB524324 ODB524324:ODX524324 OMX524324:ONT524324 OWT524324:OXP524324 PGP524324:PHL524324 PQL524324:PRH524324 QAH524324:QBD524324 QKD524324:QKZ524324 QTZ524324:QUV524324 RDV524324:RER524324 RNR524324:RON524324 RXN524324:RYJ524324 SHJ524324:SIF524324 SRF524324:SSB524324 TBB524324:TBX524324 TKX524324:TLT524324 TUT524324:TVP524324 UEP524324:UFL524324 UOL524324:UPH524324 UYH524324:UZD524324 VID524324:VIZ524324 VRZ524324:VSV524324 WBV524324:WCR524324 WLR524324:WMN524324 WVN524324:WWJ524324 F589860:AB589860 JB589860:JX589860 SX589860:TT589860 ACT589860:ADP589860 AMP589860:ANL589860 AWL589860:AXH589860 BGH589860:BHD589860 BQD589860:BQZ589860 BZZ589860:CAV589860 CJV589860:CKR589860 CTR589860:CUN589860 DDN589860:DEJ589860 DNJ589860:DOF589860 DXF589860:DYB589860 EHB589860:EHX589860 EQX589860:ERT589860 FAT589860:FBP589860 FKP589860:FLL589860 FUL589860:FVH589860 GEH589860:GFD589860 GOD589860:GOZ589860 GXZ589860:GYV589860 HHV589860:HIR589860 HRR589860:HSN589860 IBN589860:ICJ589860 ILJ589860:IMF589860 IVF589860:IWB589860 JFB589860:JFX589860 JOX589860:JPT589860 JYT589860:JZP589860 KIP589860:KJL589860 KSL589860:KTH589860 LCH589860:LDD589860 LMD589860:LMZ589860 LVZ589860:LWV589860 MFV589860:MGR589860 MPR589860:MQN589860 MZN589860:NAJ589860 NJJ589860:NKF589860 NTF589860:NUB589860 ODB589860:ODX589860 OMX589860:ONT589860 OWT589860:OXP589860 PGP589860:PHL589860 PQL589860:PRH589860 QAH589860:QBD589860 QKD589860:QKZ589860 QTZ589860:QUV589860 RDV589860:RER589860 RNR589860:RON589860 RXN589860:RYJ589860 SHJ589860:SIF589860 SRF589860:SSB589860 TBB589860:TBX589860 TKX589860:TLT589860 TUT589860:TVP589860 UEP589860:UFL589860 UOL589860:UPH589860 UYH589860:UZD589860 VID589860:VIZ589860 VRZ589860:VSV589860 WBV589860:WCR589860 WLR589860:WMN589860 WVN589860:WWJ589860 F655396:AB655396 JB655396:JX655396 SX655396:TT655396 ACT655396:ADP655396 AMP655396:ANL655396 AWL655396:AXH655396 BGH655396:BHD655396 BQD655396:BQZ655396 BZZ655396:CAV655396 CJV655396:CKR655396 CTR655396:CUN655396 DDN655396:DEJ655396 DNJ655396:DOF655396 DXF655396:DYB655396 EHB655396:EHX655396 EQX655396:ERT655396 FAT655396:FBP655396 FKP655396:FLL655396 FUL655396:FVH655396 GEH655396:GFD655396 GOD655396:GOZ655396 GXZ655396:GYV655396 HHV655396:HIR655396 HRR655396:HSN655396 IBN655396:ICJ655396 ILJ655396:IMF655396 IVF655396:IWB655396 JFB655396:JFX655396 JOX655396:JPT655396 JYT655396:JZP655396 KIP655396:KJL655396 KSL655396:KTH655396 LCH655396:LDD655396 LMD655396:LMZ655396 LVZ655396:LWV655396 MFV655396:MGR655396 MPR655396:MQN655396 MZN655396:NAJ655396 NJJ655396:NKF655396 NTF655396:NUB655396 ODB655396:ODX655396 OMX655396:ONT655396 OWT655396:OXP655396 PGP655396:PHL655396 PQL655396:PRH655396 QAH655396:QBD655396 QKD655396:QKZ655396 QTZ655396:QUV655396 RDV655396:RER655396 RNR655396:RON655396 RXN655396:RYJ655396 SHJ655396:SIF655396 SRF655396:SSB655396 TBB655396:TBX655396 TKX655396:TLT655396 TUT655396:TVP655396 UEP655396:UFL655396 UOL655396:UPH655396 UYH655396:UZD655396 VID655396:VIZ655396 VRZ655396:VSV655396 WBV655396:WCR655396 WLR655396:WMN655396 WVN655396:WWJ655396 F720932:AB720932 JB720932:JX720932 SX720932:TT720932 ACT720932:ADP720932 AMP720932:ANL720932 AWL720932:AXH720932 BGH720932:BHD720932 BQD720932:BQZ720932 BZZ720932:CAV720932 CJV720932:CKR720932 CTR720932:CUN720932 DDN720932:DEJ720932 DNJ720932:DOF720932 DXF720932:DYB720932 EHB720932:EHX720932 EQX720932:ERT720932 FAT720932:FBP720932 FKP720932:FLL720932 FUL720932:FVH720932 GEH720932:GFD720932 GOD720932:GOZ720932 GXZ720932:GYV720932 HHV720932:HIR720932 HRR720932:HSN720932 IBN720932:ICJ720932 ILJ720932:IMF720932 IVF720932:IWB720932 JFB720932:JFX720932 JOX720932:JPT720932 JYT720932:JZP720932 KIP720932:KJL720932 KSL720932:KTH720932 LCH720932:LDD720932 LMD720932:LMZ720932 LVZ720932:LWV720932 MFV720932:MGR720932 MPR720932:MQN720932 MZN720932:NAJ720932 NJJ720932:NKF720932 NTF720932:NUB720932 ODB720932:ODX720932 OMX720932:ONT720932 OWT720932:OXP720932 PGP720932:PHL720932 PQL720932:PRH720932 QAH720932:QBD720932 QKD720932:QKZ720932 QTZ720932:QUV720932 RDV720932:RER720932 RNR720932:RON720932 RXN720932:RYJ720932 SHJ720932:SIF720932 SRF720932:SSB720932 TBB720932:TBX720932 TKX720932:TLT720932 TUT720932:TVP720932 UEP720932:UFL720932 UOL720932:UPH720932 UYH720932:UZD720932 VID720932:VIZ720932 VRZ720932:VSV720932 WBV720932:WCR720932 WLR720932:WMN720932 WVN720932:WWJ720932 F786468:AB786468 JB786468:JX786468 SX786468:TT786468 ACT786468:ADP786468 AMP786468:ANL786468 AWL786468:AXH786468 BGH786468:BHD786468 BQD786468:BQZ786468 BZZ786468:CAV786468 CJV786468:CKR786468 CTR786468:CUN786468 DDN786468:DEJ786468 DNJ786468:DOF786468 DXF786468:DYB786468 EHB786468:EHX786468 EQX786468:ERT786468 FAT786468:FBP786468 FKP786468:FLL786468 FUL786468:FVH786468 GEH786468:GFD786468 GOD786468:GOZ786468 GXZ786468:GYV786468 HHV786468:HIR786468 HRR786468:HSN786468 IBN786468:ICJ786468 ILJ786468:IMF786468 IVF786468:IWB786468 JFB786468:JFX786468 JOX786468:JPT786468 JYT786468:JZP786468 KIP786468:KJL786468 KSL786468:KTH786468 LCH786468:LDD786468 LMD786468:LMZ786468 LVZ786468:LWV786468 MFV786468:MGR786468 MPR786468:MQN786468 MZN786468:NAJ786468 NJJ786468:NKF786468 NTF786468:NUB786468 ODB786468:ODX786468 OMX786468:ONT786468 OWT786468:OXP786468 PGP786468:PHL786468 PQL786468:PRH786468 QAH786468:QBD786468 QKD786468:QKZ786468 QTZ786468:QUV786468 RDV786468:RER786468 RNR786468:RON786468 RXN786468:RYJ786468 SHJ786468:SIF786468 SRF786468:SSB786468 TBB786468:TBX786468 TKX786468:TLT786468 TUT786468:TVP786468 UEP786468:UFL786468 UOL786468:UPH786468 UYH786468:UZD786468 VID786468:VIZ786468 VRZ786468:VSV786468 WBV786468:WCR786468 WLR786468:WMN786468 WVN786468:WWJ786468 F852004:AB852004 JB852004:JX852004 SX852004:TT852004 ACT852004:ADP852004 AMP852004:ANL852004 AWL852004:AXH852004 BGH852004:BHD852004 BQD852004:BQZ852004 BZZ852004:CAV852004 CJV852004:CKR852004 CTR852004:CUN852004 DDN852004:DEJ852004 DNJ852004:DOF852004 DXF852004:DYB852004 EHB852004:EHX852004 EQX852004:ERT852004 FAT852004:FBP852004 FKP852004:FLL852004 FUL852004:FVH852004 GEH852004:GFD852004 GOD852004:GOZ852004 GXZ852004:GYV852004 HHV852004:HIR852004 HRR852004:HSN852004 IBN852004:ICJ852004 ILJ852004:IMF852004 IVF852004:IWB852004 JFB852004:JFX852004 JOX852004:JPT852004 JYT852004:JZP852004 KIP852004:KJL852004 KSL852004:KTH852004 LCH852004:LDD852004 LMD852004:LMZ852004 LVZ852004:LWV852004 MFV852004:MGR852004 MPR852004:MQN852004 MZN852004:NAJ852004 NJJ852004:NKF852004 NTF852004:NUB852004 ODB852004:ODX852004 OMX852004:ONT852004 OWT852004:OXP852004 PGP852004:PHL852004 PQL852004:PRH852004 QAH852004:QBD852004 QKD852004:QKZ852004 QTZ852004:QUV852004 RDV852004:RER852004 RNR852004:RON852004 RXN852004:RYJ852004 SHJ852004:SIF852004 SRF852004:SSB852004 TBB852004:TBX852004 TKX852004:TLT852004 TUT852004:TVP852004 UEP852004:UFL852004 UOL852004:UPH852004 UYH852004:UZD852004 VID852004:VIZ852004 VRZ852004:VSV852004 WBV852004:WCR852004 WLR852004:WMN852004 WVN852004:WWJ852004 F917540:AB917540 JB917540:JX917540 SX917540:TT917540 ACT917540:ADP917540 AMP917540:ANL917540 AWL917540:AXH917540 BGH917540:BHD917540 BQD917540:BQZ917540 BZZ917540:CAV917540 CJV917540:CKR917540 CTR917540:CUN917540 DDN917540:DEJ917540 DNJ917540:DOF917540 DXF917540:DYB917540 EHB917540:EHX917540 EQX917540:ERT917540 FAT917540:FBP917540 FKP917540:FLL917540 FUL917540:FVH917540 GEH917540:GFD917540 GOD917540:GOZ917540 GXZ917540:GYV917540 HHV917540:HIR917540 HRR917540:HSN917540 IBN917540:ICJ917540 ILJ917540:IMF917540 IVF917540:IWB917540 JFB917540:JFX917540 JOX917540:JPT917540 JYT917540:JZP917540 KIP917540:KJL917540 KSL917540:KTH917540 LCH917540:LDD917540 LMD917540:LMZ917540 LVZ917540:LWV917540 MFV917540:MGR917540 MPR917540:MQN917540 MZN917540:NAJ917540 NJJ917540:NKF917540 NTF917540:NUB917540 ODB917540:ODX917540 OMX917540:ONT917540 OWT917540:OXP917540 PGP917540:PHL917540 PQL917540:PRH917540 QAH917540:QBD917540 QKD917540:QKZ917540 QTZ917540:QUV917540 RDV917540:RER917540 RNR917540:RON917540 RXN917540:RYJ917540 SHJ917540:SIF917540 SRF917540:SSB917540 TBB917540:TBX917540 TKX917540:TLT917540 TUT917540:TVP917540 UEP917540:UFL917540 UOL917540:UPH917540 UYH917540:UZD917540 VID917540:VIZ917540 VRZ917540:VSV917540 WBV917540:WCR917540 WLR917540:WMN917540 WVN917540:WWJ917540 F983076:AB983076 JB983076:JX983076 SX983076:TT983076 ACT983076:ADP983076 AMP983076:ANL983076 AWL983076:AXH983076 BGH983076:BHD983076 BQD983076:BQZ983076 BZZ983076:CAV983076 CJV983076:CKR983076 CTR983076:CUN983076 DDN983076:DEJ983076 DNJ983076:DOF983076 DXF983076:DYB983076 EHB983076:EHX983076 EQX983076:ERT983076 FAT983076:FBP983076 FKP983076:FLL983076 FUL983076:FVH983076 GEH983076:GFD983076 GOD983076:GOZ983076 GXZ983076:GYV983076 HHV983076:HIR983076 HRR983076:HSN983076 IBN983076:ICJ983076 ILJ983076:IMF983076 IVF983076:IWB983076 JFB983076:JFX983076 JOX983076:JPT983076 JYT983076:JZP983076 KIP983076:KJL983076 KSL983076:KTH983076 LCH983076:LDD983076 LMD983076:LMZ983076 LVZ983076:LWV983076 MFV983076:MGR983076 MPR983076:MQN983076 MZN983076:NAJ983076 NJJ983076:NKF983076 NTF983076:NUB983076 ODB983076:ODX983076 OMX983076:ONT983076 OWT983076:OXP983076 PGP983076:PHL983076 PQL983076:PRH983076 QAH983076:QBD983076 QKD983076:QKZ983076 QTZ983076:QUV983076 RDV983076:RER983076 RNR983076:RON983076 RXN983076:RYJ983076 SHJ983076:SIF983076 SRF983076:SSB983076 TBB983076:TBX983076 TKX983076:TLT983076 TUT983076:TVP983076 UEP983076:UFL983076 UOL983076:UPH983076 UYH983076:UZD983076 VID983076:VIZ983076 VRZ983076:VSV983076 WBV983076:WCR983076 WLR983076:WMN983076 WVN983076:WWJ983076 AD36:AG36 JZ36:KC36 TV36:TY36 ADR36:ADU36 ANN36:ANQ36 AXJ36:AXM36 BHF36:BHI36 BRB36:BRE36 CAX36:CBA36 CKT36:CKW36 CUP36:CUS36 DEL36:DEO36 DOH36:DOK36 DYD36:DYG36 EHZ36:EIC36 ERV36:ERY36 FBR36:FBU36 FLN36:FLQ36 FVJ36:FVM36 GFF36:GFI36 GPB36:GPE36 GYX36:GZA36 HIT36:HIW36 HSP36:HSS36 ICL36:ICO36 IMH36:IMK36 IWD36:IWG36 JFZ36:JGC36 JPV36:JPY36 JZR36:JZU36 KJN36:KJQ36 KTJ36:KTM36 LDF36:LDI36 LNB36:LNE36 LWX36:LXA36 MGT36:MGW36 MQP36:MQS36 NAL36:NAO36 NKH36:NKK36 NUD36:NUG36 ODZ36:OEC36 ONV36:ONY36 OXR36:OXU36 PHN36:PHQ36 PRJ36:PRM36 QBF36:QBI36 QLB36:QLE36 QUX36:QVA36 RET36:REW36 ROP36:ROS36 RYL36:RYO36 SIH36:SIK36 SSD36:SSG36 TBZ36:TCC36 TLV36:TLY36 TVR36:TVU36 UFN36:UFQ36 UPJ36:UPM36 UZF36:UZI36 VJB36:VJE36 VSX36:VTA36 WCT36:WCW36 WMP36:WMS36 WWL36:WWO36 AD65572:AG65572 JZ65572:KC65572 TV65572:TY65572 ADR65572:ADU65572 ANN65572:ANQ65572 AXJ65572:AXM65572 BHF65572:BHI65572 BRB65572:BRE65572 CAX65572:CBA65572 CKT65572:CKW65572 CUP65572:CUS65572 DEL65572:DEO65572 DOH65572:DOK65572 DYD65572:DYG65572 EHZ65572:EIC65572 ERV65572:ERY65572 FBR65572:FBU65572 FLN65572:FLQ65572 FVJ65572:FVM65572 GFF65572:GFI65572 GPB65572:GPE65572 GYX65572:GZA65572 HIT65572:HIW65572 HSP65572:HSS65572 ICL65572:ICO65572 IMH65572:IMK65572 IWD65572:IWG65572 JFZ65572:JGC65572 JPV65572:JPY65572 JZR65572:JZU65572 KJN65572:KJQ65572 KTJ65572:KTM65572 LDF65572:LDI65572 LNB65572:LNE65572 LWX65572:LXA65572 MGT65572:MGW65572 MQP65572:MQS65572 NAL65572:NAO65572 NKH65572:NKK65572 NUD65572:NUG65572 ODZ65572:OEC65572 ONV65572:ONY65572 OXR65572:OXU65572 PHN65572:PHQ65572 PRJ65572:PRM65572 QBF65572:QBI65572 QLB65572:QLE65572 QUX65572:QVA65572 RET65572:REW65572 ROP65572:ROS65572 RYL65572:RYO65572 SIH65572:SIK65572 SSD65572:SSG65572 TBZ65572:TCC65572 TLV65572:TLY65572 TVR65572:TVU65572 UFN65572:UFQ65572 UPJ65572:UPM65572 UZF65572:UZI65572 VJB65572:VJE65572 VSX65572:VTA65572 WCT65572:WCW65572 WMP65572:WMS65572 WWL65572:WWO65572 AD131108:AG131108 JZ131108:KC131108 TV131108:TY131108 ADR131108:ADU131108 ANN131108:ANQ131108 AXJ131108:AXM131108 BHF131108:BHI131108 BRB131108:BRE131108 CAX131108:CBA131108 CKT131108:CKW131108 CUP131108:CUS131108 DEL131108:DEO131108 DOH131108:DOK131108 DYD131108:DYG131108 EHZ131108:EIC131108 ERV131108:ERY131108 FBR131108:FBU131108 FLN131108:FLQ131108 FVJ131108:FVM131108 GFF131108:GFI131108 GPB131108:GPE131108 GYX131108:GZA131108 HIT131108:HIW131108 HSP131108:HSS131108 ICL131108:ICO131108 IMH131108:IMK131108 IWD131108:IWG131108 JFZ131108:JGC131108 JPV131108:JPY131108 JZR131108:JZU131108 KJN131108:KJQ131108 KTJ131108:KTM131108 LDF131108:LDI131108 LNB131108:LNE131108 LWX131108:LXA131108 MGT131108:MGW131108 MQP131108:MQS131108 NAL131108:NAO131108 NKH131108:NKK131108 NUD131108:NUG131108 ODZ131108:OEC131108 ONV131108:ONY131108 OXR131108:OXU131108 PHN131108:PHQ131108 PRJ131108:PRM131108 QBF131108:QBI131108 QLB131108:QLE131108 QUX131108:QVA131108 RET131108:REW131108 ROP131108:ROS131108 RYL131108:RYO131108 SIH131108:SIK131108 SSD131108:SSG131108 TBZ131108:TCC131108 TLV131108:TLY131108 TVR131108:TVU131108 UFN131108:UFQ131108 UPJ131108:UPM131108 UZF131108:UZI131108 VJB131108:VJE131108 VSX131108:VTA131108 WCT131108:WCW131108 WMP131108:WMS131108 WWL131108:WWO131108 AD196644:AG196644 JZ196644:KC196644 TV196644:TY196644 ADR196644:ADU196644 ANN196644:ANQ196644 AXJ196644:AXM196644 BHF196644:BHI196644 BRB196644:BRE196644 CAX196644:CBA196644 CKT196644:CKW196644 CUP196644:CUS196644 DEL196644:DEO196644 DOH196644:DOK196644 DYD196644:DYG196644 EHZ196644:EIC196644 ERV196644:ERY196644 FBR196644:FBU196644 FLN196644:FLQ196644 FVJ196644:FVM196644 GFF196644:GFI196644 GPB196644:GPE196644 GYX196644:GZA196644 HIT196644:HIW196644 HSP196644:HSS196644 ICL196644:ICO196644 IMH196644:IMK196644 IWD196644:IWG196644 JFZ196644:JGC196644 JPV196644:JPY196644 JZR196644:JZU196644 KJN196644:KJQ196644 KTJ196644:KTM196644 LDF196644:LDI196644 LNB196644:LNE196644 LWX196644:LXA196644 MGT196644:MGW196644 MQP196644:MQS196644 NAL196644:NAO196644 NKH196644:NKK196644 NUD196644:NUG196644 ODZ196644:OEC196644 ONV196644:ONY196644 OXR196644:OXU196644 PHN196644:PHQ196644 PRJ196644:PRM196644 QBF196644:QBI196644 QLB196644:QLE196644 QUX196644:QVA196644 RET196644:REW196644 ROP196644:ROS196644 RYL196644:RYO196644 SIH196644:SIK196644 SSD196644:SSG196644 TBZ196644:TCC196644 TLV196644:TLY196644 TVR196644:TVU196644 UFN196644:UFQ196644 UPJ196644:UPM196644 UZF196644:UZI196644 VJB196644:VJE196644 VSX196644:VTA196644 WCT196644:WCW196644 WMP196644:WMS196644 WWL196644:WWO196644 AD262180:AG262180 JZ262180:KC262180 TV262180:TY262180 ADR262180:ADU262180 ANN262180:ANQ262180 AXJ262180:AXM262180 BHF262180:BHI262180 BRB262180:BRE262180 CAX262180:CBA262180 CKT262180:CKW262180 CUP262180:CUS262180 DEL262180:DEO262180 DOH262180:DOK262180 DYD262180:DYG262180 EHZ262180:EIC262180 ERV262180:ERY262180 FBR262180:FBU262180 FLN262180:FLQ262180 FVJ262180:FVM262180 GFF262180:GFI262180 GPB262180:GPE262180 GYX262180:GZA262180 HIT262180:HIW262180 HSP262180:HSS262180 ICL262180:ICO262180 IMH262180:IMK262180 IWD262180:IWG262180 JFZ262180:JGC262180 JPV262180:JPY262180 JZR262180:JZU262180 KJN262180:KJQ262180 KTJ262180:KTM262180 LDF262180:LDI262180 LNB262180:LNE262180 LWX262180:LXA262180 MGT262180:MGW262180 MQP262180:MQS262180 NAL262180:NAO262180 NKH262180:NKK262180 NUD262180:NUG262180 ODZ262180:OEC262180 ONV262180:ONY262180 OXR262180:OXU262180 PHN262180:PHQ262180 PRJ262180:PRM262180 QBF262180:QBI262180 QLB262180:QLE262180 QUX262180:QVA262180 RET262180:REW262180 ROP262180:ROS262180 RYL262180:RYO262180 SIH262180:SIK262180 SSD262180:SSG262180 TBZ262180:TCC262180 TLV262180:TLY262180 TVR262180:TVU262180 UFN262180:UFQ262180 UPJ262180:UPM262180 UZF262180:UZI262180 VJB262180:VJE262180 VSX262180:VTA262180 WCT262180:WCW262180 WMP262180:WMS262180 WWL262180:WWO262180 AD327716:AG327716 JZ327716:KC327716 TV327716:TY327716 ADR327716:ADU327716 ANN327716:ANQ327716 AXJ327716:AXM327716 BHF327716:BHI327716 BRB327716:BRE327716 CAX327716:CBA327716 CKT327716:CKW327716 CUP327716:CUS327716 DEL327716:DEO327716 DOH327716:DOK327716 DYD327716:DYG327716 EHZ327716:EIC327716 ERV327716:ERY327716 FBR327716:FBU327716 FLN327716:FLQ327716 FVJ327716:FVM327716 GFF327716:GFI327716 GPB327716:GPE327716 GYX327716:GZA327716 HIT327716:HIW327716 HSP327716:HSS327716 ICL327716:ICO327716 IMH327716:IMK327716 IWD327716:IWG327716 JFZ327716:JGC327716 JPV327716:JPY327716 JZR327716:JZU327716 KJN327716:KJQ327716 KTJ327716:KTM327716 LDF327716:LDI327716 LNB327716:LNE327716 LWX327716:LXA327716 MGT327716:MGW327716 MQP327716:MQS327716 NAL327716:NAO327716 NKH327716:NKK327716 NUD327716:NUG327716 ODZ327716:OEC327716 ONV327716:ONY327716 OXR327716:OXU327716 PHN327716:PHQ327716 PRJ327716:PRM327716 QBF327716:QBI327716 QLB327716:QLE327716 QUX327716:QVA327716 RET327716:REW327716 ROP327716:ROS327716 RYL327716:RYO327716 SIH327716:SIK327716 SSD327716:SSG327716 TBZ327716:TCC327716 TLV327716:TLY327716 TVR327716:TVU327716 UFN327716:UFQ327716 UPJ327716:UPM327716 UZF327716:UZI327716 VJB327716:VJE327716 VSX327716:VTA327716 WCT327716:WCW327716 WMP327716:WMS327716 WWL327716:WWO327716 AD393252:AG393252 JZ393252:KC393252 TV393252:TY393252 ADR393252:ADU393252 ANN393252:ANQ393252 AXJ393252:AXM393252 BHF393252:BHI393252 BRB393252:BRE393252 CAX393252:CBA393252 CKT393252:CKW393252 CUP393252:CUS393252 DEL393252:DEO393252 DOH393252:DOK393252 DYD393252:DYG393252 EHZ393252:EIC393252 ERV393252:ERY393252 FBR393252:FBU393252 FLN393252:FLQ393252 FVJ393252:FVM393252 GFF393252:GFI393252 GPB393252:GPE393252 GYX393252:GZA393252 HIT393252:HIW393252 HSP393252:HSS393252 ICL393252:ICO393252 IMH393252:IMK393252 IWD393252:IWG393252 JFZ393252:JGC393252 JPV393252:JPY393252 JZR393252:JZU393252 KJN393252:KJQ393252 KTJ393252:KTM393252 LDF393252:LDI393252 LNB393252:LNE393252 LWX393252:LXA393252 MGT393252:MGW393252 MQP393252:MQS393252 NAL393252:NAO393252 NKH393252:NKK393252 NUD393252:NUG393252 ODZ393252:OEC393252 ONV393252:ONY393252 OXR393252:OXU393252 PHN393252:PHQ393252 PRJ393252:PRM393252 QBF393252:QBI393252 QLB393252:QLE393252 QUX393252:QVA393252 RET393252:REW393252 ROP393252:ROS393252 RYL393252:RYO393252 SIH393252:SIK393252 SSD393252:SSG393252 TBZ393252:TCC393252 TLV393252:TLY393252 TVR393252:TVU393252 UFN393252:UFQ393252 UPJ393252:UPM393252 UZF393252:UZI393252 VJB393252:VJE393252 VSX393252:VTA393252 WCT393252:WCW393252 WMP393252:WMS393252 WWL393252:WWO393252 AD458788:AG458788 JZ458788:KC458788 TV458788:TY458788 ADR458788:ADU458788 ANN458788:ANQ458788 AXJ458788:AXM458788 BHF458788:BHI458788 BRB458788:BRE458788 CAX458788:CBA458788 CKT458788:CKW458788 CUP458788:CUS458788 DEL458788:DEO458788 DOH458788:DOK458788 DYD458788:DYG458788 EHZ458788:EIC458788 ERV458788:ERY458788 FBR458788:FBU458788 FLN458788:FLQ458788 FVJ458788:FVM458788 GFF458788:GFI458788 GPB458788:GPE458788 GYX458788:GZA458788 HIT458788:HIW458788 HSP458788:HSS458788 ICL458788:ICO458788 IMH458788:IMK458788 IWD458788:IWG458788 JFZ458788:JGC458788 JPV458788:JPY458788 JZR458788:JZU458788 KJN458788:KJQ458788 KTJ458788:KTM458788 LDF458788:LDI458788 LNB458788:LNE458788 LWX458788:LXA458788 MGT458788:MGW458788 MQP458788:MQS458788 NAL458788:NAO458788 NKH458788:NKK458788 NUD458788:NUG458788 ODZ458788:OEC458788 ONV458788:ONY458788 OXR458788:OXU458788 PHN458788:PHQ458788 PRJ458788:PRM458788 QBF458788:QBI458788 QLB458788:QLE458788 QUX458788:QVA458788 RET458788:REW458788 ROP458788:ROS458788 RYL458788:RYO458788 SIH458788:SIK458788 SSD458788:SSG458788 TBZ458788:TCC458788 TLV458788:TLY458788 TVR458788:TVU458788 UFN458788:UFQ458788 UPJ458788:UPM458788 UZF458788:UZI458788 VJB458788:VJE458788 VSX458788:VTA458788 WCT458788:WCW458788 WMP458788:WMS458788 WWL458788:WWO458788 AD524324:AG524324 JZ524324:KC524324 TV524324:TY524324 ADR524324:ADU524324 ANN524324:ANQ524324 AXJ524324:AXM524324 BHF524324:BHI524324 BRB524324:BRE524324 CAX524324:CBA524324 CKT524324:CKW524324 CUP524324:CUS524324 DEL524324:DEO524324 DOH524324:DOK524324 DYD524324:DYG524324 EHZ524324:EIC524324 ERV524324:ERY524324 FBR524324:FBU524324 FLN524324:FLQ524324 FVJ524324:FVM524324 GFF524324:GFI524324 GPB524324:GPE524324 GYX524324:GZA524324 HIT524324:HIW524324 HSP524324:HSS524324 ICL524324:ICO524324 IMH524324:IMK524324 IWD524324:IWG524324 JFZ524324:JGC524324 JPV524324:JPY524324 JZR524324:JZU524324 KJN524324:KJQ524324 KTJ524324:KTM524324 LDF524324:LDI524324 LNB524324:LNE524324 LWX524324:LXA524324 MGT524324:MGW524324 MQP524324:MQS524324 NAL524324:NAO524324 NKH524324:NKK524324 NUD524324:NUG524324 ODZ524324:OEC524324 ONV524324:ONY524324 OXR524324:OXU524324 PHN524324:PHQ524324 PRJ524324:PRM524324 QBF524324:QBI524324 QLB524324:QLE524324 QUX524324:QVA524324 RET524324:REW524324 ROP524324:ROS524324 RYL524324:RYO524324 SIH524324:SIK524324 SSD524324:SSG524324 TBZ524324:TCC524324 TLV524324:TLY524324 TVR524324:TVU524324 UFN524324:UFQ524324 UPJ524324:UPM524324 UZF524324:UZI524324 VJB524324:VJE524324 VSX524324:VTA524324 WCT524324:WCW524324 WMP524324:WMS524324 WWL524324:WWO524324 AD589860:AG589860 JZ589860:KC589860 TV589860:TY589860 ADR589860:ADU589860 ANN589860:ANQ589860 AXJ589860:AXM589860 BHF589860:BHI589860 BRB589860:BRE589860 CAX589860:CBA589860 CKT589860:CKW589860 CUP589860:CUS589860 DEL589860:DEO589860 DOH589860:DOK589860 DYD589860:DYG589860 EHZ589860:EIC589860 ERV589860:ERY589860 FBR589860:FBU589860 FLN589860:FLQ589860 FVJ589860:FVM589860 GFF589860:GFI589860 GPB589860:GPE589860 GYX589860:GZA589860 HIT589860:HIW589860 HSP589860:HSS589860 ICL589860:ICO589860 IMH589860:IMK589860 IWD589860:IWG589860 JFZ589860:JGC589860 JPV589860:JPY589860 JZR589860:JZU589860 KJN589860:KJQ589860 KTJ589860:KTM589860 LDF589860:LDI589860 LNB589860:LNE589860 LWX589860:LXA589860 MGT589860:MGW589860 MQP589860:MQS589860 NAL589860:NAO589860 NKH589860:NKK589860 NUD589860:NUG589860 ODZ589860:OEC589860 ONV589860:ONY589860 OXR589860:OXU589860 PHN589860:PHQ589860 PRJ589860:PRM589860 QBF589860:QBI589860 QLB589860:QLE589860 QUX589860:QVA589860 RET589860:REW589860 ROP589860:ROS589860 RYL589860:RYO589860 SIH589860:SIK589860 SSD589860:SSG589860 TBZ589860:TCC589860 TLV589860:TLY589860 TVR589860:TVU589860 UFN589860:UFQ589860 UPJ589860:UPM589860 UZF589860:UZI589860 VJB589860:VJE589860 VSX589860:VTA589860 WCT589860:WCW589860 WMP589860:WMS589860 WWL589860:WWO589860 AD655396:AG655396 JZ655396:KC655396 TV655396:TY655396 ADR655396:ADU655396 ANN655396:ANQ655396 AXJ655396:AXM655396 BHF655396:BHI655396 BRB655396:BRE655396 CAX655396:CBA655396 CKT655396:CKW655396 CUP655396:CUS655396 DEL655396:DEO655396 DOH655396:DOK655396 DYD655396:DYG655396 EHZ655396:EIC655396 ERV655396:ERY655396 FBR655396:FBU655396 FLN655396:FLQ655396 FVJ655396:FVM655396 GFF655396:GFI655396 GPB655396:GPE655396 GYX655396:GZA655396 HIT655396:HIW655396 HSP655396:HSS655396 ICL655396:ICO655396 IMH655396:IMK655396 IWD655396:IWG655396 JFZ655396:JGC655396 JPV655396:JPY655396 JZR655396:JZU655396 KJN655396:KJQ655396 KTJ655396:KTM655396 LDF655396:LDI655396 LNB655396:LNE655396 LWX655396:LXA655396 MGT655396:MGW655396 MQP655396:MQS655396 NAL655396:NAO655396 NKH655396:NKK655396 NUD655396:NUG655396 ODZ655396:OEC655396 ONV655396:ONY655396 OXR655396:OXU655396 PHN655396:PHQ655396 PRJ655396:PRM655396 QBF655396:QBI655396 QLB655396:QLE655396 QUX655396:QVA655396 RET655396:REW655396 ROP655396:ROS655396 RYL655396:RYO655396 SIH655396:SIK655396 SSD655396:SSG655396 TBZ655396:TCC655396 TLV655396:TLY655396 TVR655396:TVU655396 UFN655396:UFQ655396 UPJ655396:UPM655396 UZF655396:UZI655396 VJB655396:VJE655396 VSX655396:VTA655396 WCT655396:WCW655396 WMP655396:WMS655396 WWL655396:WWO655396 AD720932:AG720932 JZ720932:KC720932 TV720932:TY720932 ADR720932:ADU720932 ANN720932:ANQ720932 AXJ720932:AXM720932 BHF720932:BHI720932 BRB720932:BRE720932 CAX720932:CBA720932 CKT720932:CKW720932 CUP720932:CUS720932 DEL720932:DEO720932 DOH720932:DOK720932 DYD720932:DYG720932 EHZ720932:EIC720932 ERV720932:ERY720932 FBR720932:FBU720932 FLN720932:FLQ720932 FVJ720932:FVM720932 GFF720932:GFI720932 GPB720932:GPE720932 GYX720932:GZA720932 HIT720932:HIW720932 HSP720932:HSS720932 ICL720932:ICO720932 IMH720932:IMK720932 IWD720932:IWG720932 JFZ720932:JGC720932 JPV720932:JPY720932 JZR720932:JZU720932 KJN720932:KJQ720932 KTJ720932:KTM720932 LDF720932:LDI720932 LNB720932:LNE720932 LWX720932:LXA720932 MGT720932:MGW720932 MQP720932:MQS720932 NAL720932:NAO720932 NKH720932:NKK720932 NUD720932:NUG720932 ODZ720932:OEC720932 ONV720932:ONY720932 OXR720932:OXU720932 PHN720932:PHQ720932 PRJ720932:PRM720932 QBF720932:QBI720932 QLB720932:QLE720932 QUX720932:QVA720932 RET720932:REW720932 ROP720932:ROS720932 RYL720932:RYO720932 SIH720932:SIK720932 SSD720932:SSG720932 TBZ720932:TCC720932 TLV720932:TLY720932 TVR720932:TVU720932 UFN720932:UFQ720932 UPJ720932:UPM720932 UZF720932:UZI720932 VJB720932:VJE720932 VSX720932:VTA720932 WCT720932:WCW720932 WMP720932:WMS720932 WWL720932:WWO720932 AD786468:AG786468 JZ786468:KC786468 TV786468:TY786468 ADR786468:ADU786468 ANN786468:ANQ786468 AXJ786468:AXM786468 BHF786468:BHI786468 BRB786468:BRE786468 CAX786468:CBA786468 CKT786468:CKW786468 CUP786468:CUS786468 DEL786468:DEO786468 DOH786468:DOK786468 DYD786468:DYG786468 EHZ786468:EIC786468 ERV786468:ERY786468 FBR786468:FBU786468 FLN786468:FLQ786468 FVJ786468:FVM786468 GFF786468:GFI786468 GPB786468:GPE786468 GYX786468:GZA786468 HIT786468:HIW786468 HSP786468:HSS786468 ICL786468:ICO786468 IMH786468:IMK786468 IWD786468:IWG786468 JFZ786468:JGC786468 JPV786468:JPY786468 JZR786468:JZU786468 KJN786468:KJQ786468 KTJ786468:KTM786468 LDF786468:LDI786468 LNB786468:LNE786468 LWX786468:LXA786468 MGT786468:MGW786468 MQP786468:MQS786468 NAL786468:NAO786468 NKH786468:NKK786468 NUD786468:NUG786468 ODZ786468:OEC786468 ONV786468:ONY786468 OXR786468:OXU786468 PHN786468:PHQ786468 PRJ786468:PRM786468 QBF786468:QBI786468 QLB786468:QLE786468 QUX786468:QVA786468 RET786468:REW786468 ROP786468:ROS786468 RYL786468:RYO786468 SIH786468:SIK786468 SSD786468:SSG786468 TBZ786468:TCC786468 TLV786468:TLY786468 TVR786468:TVU786468 UFN786468:UFQ786468 UPJ786468:UPM786468 UZF786468:UZI786468 VJB786468:VJE786468 VSX786468:VTA786468 WCT786468:WCW786468 WMP786468:WMS786468 WWL786468:WWO786468 AD852004:AG852004 JZ852004:KC852004 TV852004:TY852004 ADR852004:ADU852004 ANN852004:ANQ852004 AXJ852004:AXM852004 BHF852004:BHI852004 BRB852004:BRE852004 CAX852004:CBA852004 CKT852004:CKW852004 CUP852004:CUS852004 DEL852004:DEO852004 DOH852004:DOK852004 DYD852004:DYG852004 EHZ852004:EIC852004 ERV852004:ERY852004 FBR852004:FBU852004 FLN852004:FLQ852004 FVJ852004:FVM852004 GFF852004:GFI852004 GPB852004:GPE852004 GYX852004:GZA852004 HIT852004:HIW852004 HSP852004:HSS852004 ICL852004:ICO852004 IMH852004:IMK852004 IWD852004:IWG852004 JFZ852004:JGC852004 JPV852004:JPY852004 JZR852004:JZU852004 KJN852004:KJQ852004 KTJ852004:KTM852004 LDF852004:LDI852004 LNB852004:LNE852004 LWX852004:LXA852004 MGT852004:MGW852004 MQP852004:MQS852004 NAL852004:NAO852004 NKH852004:NKK852004 NUD852004:NUG852004 ODZ852004:OEC852004 ONV852004:ONY852004 OXR852004:OXU852004 PHN852004:PHQ852004 PRJ852004:PRM852004 QBF852004:QBI852004 QLB852004:QLE852004 QUX852004:QVA852004 RET852004:REW852004 ROP852004:ROS852004 RYL852004:RYO852004 SIH852004:SIK852004 SSD852004:SSG852004 TBZ852004:TCC852004 TLV852004:TLY852004 TVR852004:TVU852004 UFN852004:UFQ852004 UPJ852004:UPM852004 UZF852004:UZI852004 VJB852004:VJE852004 VSX852004:VTA852004 WCT852004:WCW852004 WMP852004:WMS852004 WWL852004:WWO852004 AD917540:AG917540 JZ917540:KC917540 TV917540:TY917540 ADR917540:ADU917540 ANN917540:ANQ917540 AXJ917540:AXM917540 BHF917540:BHI917540 BRB917540:BRE917540 CAX917540:CBA917540 CKT917540:CKW917540 CUP917540:CUS917540 DEL917540:DEO917540 DOH917540:DOK917540 DYD917540:DYG917540 EHZ917540:EIC917540 ERV917540:ERY917540 FBR917540:FBU917540 FLN917540:FLQ917540 FVJ917540:FVM917540 GFF917540:GFI917540 GPB917540:GPE917540 GYX917540:GZA917540 HIT917540:HIW917540 HSP917540:HSS917540 ICL917540:ICO917540 IMH917540:IMK917540 IWD917540:IWG917540 JFZ917540:JGC917540 JPV917540:JPY917540 JZR917540:JZU917540 KJN917540:KJQ917540 KTJ917540:KTM917540 LDF917540:LDI917540 LNB917540:LNE917540 LWX917540:LXA917540 MGT917540:MGW917540 MQP917540:MQS917540 NAL917540:NAO917540 NKH917540:NKK917540 NUD917540:NUG917540 ODZ917540:OEC917540 ONV917540:ONY917540 OXR917540:OXU917540 PHN917540:PHQ917540 PRJ917540:PRM917540 QBF917540:QBI917540 QLB917540:QLE917540 QUX917540:QVA917540 RET917540:REW917540 ROP917540:ROS917540 RYL917540:RYO917540 SIH917540:SIK917540 SSD917540:SSG917540 TBZ917540:TCC917540 TLV917540:TLY917540 TVR917540:TVU917540 UFN917540:UFQ917540 UPJ917540:UPM917540 UZF917540:UZI917540 VJB917540:VJE917540 VSX917540:VTA917540 WCT917540:WCW917540 WMP917540:WMS917540 WWL917540:WWO917540 AD983076:AG983076 JZ983076:KC983076 TV983076:TY983076 ADR983076:ADU983076 ANN983076:ANQ983076 AXJ983076:AXM983076 BHF983076:BHI983076 BRB983076:BRE983076 CAX983076:CBA983076 CKT983076:CKW983076 CUP983076:CUS983076 DEL983076:DEO983076 DOH983076:DOK983076 DYD983076:DYG983076 EHZ983076:EIC983076 ERV983076:ERY983076 FBR983076:FBU983076 FLN983076:FLQ983076 FVJ983076:FVM983076 GFF983076:GFI983076 GPB983076:GPE983076 GYX983076:GZA983076 HIT983076:HIW983076 HSP983076:HSS983076 ICL983076:ICO983076 IMH983076:IMK983076 IWD983076:IWG983076 JFZ983076:JGC983076 JPV983076:JPY983076 JZR983076:JZU983076 KJN983076:KJQ983076 KTJ983076:KTM983076 LDF983076:LDI983076 LNB983076:LNE983076 LWX983076:LXA983076 MGT983076:MGW983076 MQP983076:MQS983076 NAL983076:NAO983076 NKH983076:NKK983076 NUD983076:NUG983076 ODZ983076:OEC983076 ONV983076:ONY983076 OXR983076:OXU983076 PHN983076:PHQ983076 PRJ983076:PRM983076 QBF983076:QBI983076 QLB983076:QLE983076 QUX983076:QVA983076 RET983076:REW983076 ROP983076:ROS983076 RYL983076:RYO983076 SIH983076:SIK983076 SSD983076:SSG983076 TBZ983076:TCC983076 TLV983076:TLY983076 TVR983076:TVU983076 UFN983076:UFQ983076 UPJ983076:UPM983076 UZF983076:UZI983076 VJB983076:VJE983076 VSX983076:VTA983076 WCT983076:WCW983076 WMP983076:WMS983076 WWL983076:WWO983076 WVT983065:WWF983065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1:X65561 JH65561:JT65561 TD65561:TP65561 ACZ65561:ADL65561 AMV65561:ANH65561 AWR65561:AXD65561 BGN65561:BGZ65561 BQJ65561:BQV65561 CAF65561:CAR65561 CKB65561:CKN65561 CTX65561:CUJ65561 DDT65561:DEF65561 DNP65561:DOB65561 DXL65561:DXX65561 EHH65561:EHT65561 ERD65561:ERP65561 FAZ65561:FBL65561 FKV65561:FLH65561 FUR65561:FVD65561 GEN65561:GEZ65561 GOJ65561:GOV65561 GYF65561:GYR65561 HIB65561:HIN65561 HRX65561:HSJ65561 IBT65561:ICF65561 ILP65561:IMB65561 IVL65561:IVX65561 JFH65561:JFT65561 JPD65561:JPP65561 JYZ65561:JZL65561 KIV65561:KJH65561 KSR65561:KTD65561 LCN65561:LCZ65561 LMJ65561:LMV65561 LWF65561:LWR65561 MGB65561:MGN65561 MPX65561:MQJ65561 MZT65561:NAF65561 NJP65561:NKB65561 NTL65561:NTX65561 ODH65561:ODT65561 OND65561:ONP65561 OWZ65561:OXL65561 PGV65561:PHH65561 PQR65561:PRD65561 QAN65561:QAZ65561 QKJ65561:QKV65561 QUF65561:QUR65561 REB65561:REN65561 RNX65561:ROJ65561 RXT65561:RYF65561 SHP65561:SIB65561 SRL65561:SRX65561 TBH65561:TBT65561 TLD65561:TLP65561 TUZ65561:TVL65561 UEV65561:UFH65561 UOR65561:UPD65561 UYN65561:UYZ65561 VIJ65561:VIV65561 VSF65561:VSR65561 WCB65561:WCN65561 WLX65561:WMJ65561 WVT65561:WWF65561 L131097:X131097 JH131097:JT131097 TD131097:TP131097 ACZ131097:ADL131097 AMV131097:ANH131097 AWR131097:AXD131097 BGN131097:BGZ131097 BQJ131097:BQV131097 CAF131097:CAR131097 CKB131097:CKN131097 CTX131097:CUJ131097 DDT131097:DEF131097 DNP131097:DOB131097 DXL131097:DXX131097 EHH131097:EHT131097 ERD131097:ERP131097 FAZ131097:FBL131097 FKV131097:FLH131097 FUR131097:FVD131097 GEN131097:GEZ131097 GOJ131097:GOV131097 GYF131097:GYR131097 HIB131097:HIN131097 HRX131097:HSJ131097 IBT131097:ICF131097 ILP131097:IMB131097 IVL131097:IVX131097 JFH131097:JFT131097 JPD131097:JPP131097 JYZ131097:JZL131097 KIV131097:KJH131097 KSR131097:KTD131097 LCN131097:LCZ131097 LMJ131097:LMV131097 LWF131097:LWR131097 MGB131097:MGN131097 MPX131097:MQJ131097 MZT131097:NAF131097 NJP131097:NKB131097 NTL131097:NTX131097 ODH131097:ODT131097 OND131097:ONP131097 OWZ131097:OXL131097 PGV131097:PHH131097 PQR131097:PRD131097 QAN131097:QAZ131097 QKJ131097:QKV131097 QUF131097:QUR131097 REB131097:REN131097 RNX131097:ROJ131097 RXT131097:RYF131097 SHP131097:SIB131097 SRL131097:SRX131097 TBH131097:TBT131097 TLD131097:TLP131097 TUZ131097:TVL131097 UEV131097:UFH131097 UOR131097:UPD131097 UYN131097:UYZ131097 VIJ131097:VIV131097 VSF131097:VSR131097 WCB131097:WCN131097 WLX131097:WMJ131097 WVT131097:WWF131097 L196633:X196633 JH196633:JT196633 TD196633:TP196633 ACZ196633:ADL196633 AMV196633:ANH196633 AWR196633:AXD196633 BGN196633:BGZ196633 BQJ196633:BQV196633 CAF196633:CAR196633 CKB196633:CKN196633 CTX196633:CUJ196633 DDT196633:DEF196633 DNP196633:DOB196633 DXL196633:DXX196633 EHH196633:EHT196633 ERD196633:ERP196633 FAZ196633:FBL196633 FKV196633:FLH196633 FUR196633:FVD196633 GEN196633:GEZ196633 GOJ196633:GOV196633 GYF196633:GYR196633 HIB196633:HIN196633 HRX196633:HSJ196633 IBT196633:ICF196633 ILP196633:IMB196633 IVL196633:IVX196633 JFH196633:JFT196633 JPD196633:JPP196633 JYZ196633:JZL196633 KIV196633:KJH196633 KSR196633:KTD196633 LCN196633:LCZ196633 LMJ196633:LMV196633 LWF196633:LWR196633 MGB196633:MGN196633 MPX196633:MQJ196633 MZT196633:NAF196633 NJP196633:NKB196633 NTL196633:NTX196633 ODH196633:ODT196633 OND196633:ONP196633 OWZ196633:OXL196633 PGV196633:PHH196633 PQR196633:PRD196633 QAN196633:QAZ196633 QKJ196633:QKV196633 QUF196633:QUR196633 REB196633:REN196633 RNX196633:ROJ196633 RXT196633:RYF196633 SHP196633:SIB196633 SRL196633:SRX196633 TBH196633:TBT196633 TLD196633:TLP196633 TUZ196633:TVL196633 UEV196633:UFH196633 UOR196633:UPD196633 UYN196633:UYZ196633 VIJ196633:VIV196633 VSF196633:VSR196633 WCB196633:WCN196633 WLX196633:WMJ196633 WVT196633:WWF196633 L262169:X262169 JH262169:JT262169 TD262169:TP262169 ACZ262169:ADL262169 AMV262169:ANH262169 AWR262169:AXD262169 BGN262169:BGZ262169 BQJ262169:BQV262169 CAF262169:CAR262169 CKB262169:CKN262169 CTX262169:CUJ262169 DDT262169:DEF262169 DNP262169:DOB262169 DXL262169:DXX262169 EHH262169:EHT262169 ERD262169:ERP262169 FAZ262169:FBL262169 FKV262169:FLH262169 FUR262169:FVD262169 GEN262169:GEZ262169 GOJ262169:GOV262169 GYF262169:GYR262169 HIB262169:HIN262169 HRX262169:HSJ262169 IBT262169:ICF262169 ILP262169:IMB262169 IVL262169:IVX262169 JFH262169:JFT262169 JPD262169:JPP262169 JYZ262169:JZL262169 KIV262169:KJH262169 KSR262169:KTD262169 LCN262169:LCZ262169 LMJ262169:LMV262169 LWF262169:LWR262169 MGB262169:MGN262169 MPX262169:MQJ262169 MZT262169:NAF262169 NJP262169:NKB262169 NTL262169:NTX262169 ODH262169:ODT262169 OND262169:ONP262169 OWZ262169:OXL262169 PGV262169:PHH262169 PQR262169:PRD262169 QAN262169:QAZ262169 QKJ262169:QKV262169 QUF262169:QUR262169 REB262169:REN262169 RNX262169:ROJ262169 RXT262169:RYF262169 SHP262169:SIB262169 SRL262169:SRX262169 TBH262169:TBT262169 TLD262169:TLP262169 TUZ262169:TVL262169 UEV262169:UFH262169 UOR262169:UPD262169 UYN262169:UYZ262169 VIJ262169:VIV262169 VSF262169:VSR262169 WCB262169:WCN262169 WLX262169:WMJ262169 WVT262169:WWF262169 L327705:X327705 JH327705:JT327705 TD327705:TP327705 ACZ327705:ADL327705 AMV327705:ANH327705 AWR327705:AXD327705 BGN327705:BGZ327705 BQJ327705:BQV327705 CAF327705:CAR327705 CKB327705:CKN327705 CTX327705:CUJ327705 DDT327705:DEF327705 DNP327705:DOB327705 DXL327705:DXX327705 EHH327705:EHT327705 ERD327705:ERP327705 FAZ327705:FBL327705 FKV327705:FLH327705 FUR327705:FVD327705 GEN327705:GEZ327705 GOJ327705:GOV327705 GYF327705:GYR327705 HIB327705:HIN327705 HRX327705:HSJ327705 IBT327705:ICF327705 ILP327705:IMB327705 IVL327705:IVX327705 JFH327705:JFT327705 JPD327705:JPP327705 JYZ327705:JZL327705 KIV327705:KJH327705 KSR327705:KTD327705 LCN327705:LCZ327705 LMJ327705:LMV327705 LWF327705:LWR327705 MGB327705:MGN327705 MPX327705:MQJ327705 MZT327705:NAF327705 NJP327705:NKB327705 NTL327705:NTX327705 ODH327705:ODT327705 OND327705:ONP327705 OWZ327705:OXL327705 PGV327705:PHH327705 PQR327705:PRD327705 QAN327705:QAZ327705 QKJ327705:QKV327705 QUF327705:QUR327705 REB327705:REN327705 RNX327705:ROJ327705 RXT327705:RYF327705 SHP327705:SIB327705 SRL327705:SRX327705 TBH327705:TBT327705 TLD327705:TLP327705 TUZ327705:TVL327705 UEV327705:UFH327705 UOR327705:UPD327705 UYN327705:UYZ327705 VIJ327705:VIV327705 VSF327705:VSR327705 WCB327705:WCN327705 WLX327705:WMJ327705 WVT327705:WWF327705 L393241:X393241 JH393241:JT393241 TD393241:TP393241 ACZ393241:ADL393241 AMV393241:ANH393241 AWR393241:AXD393241 BGN393241:BGZ393241 BQJ393241:BQV393241 CAF393241:CAR393241 CKB393241:CKN393241 CTX393241:CUJ393241 DDT393241:DEF393241 DNP393241:DOB393241 DXL393241:DXX393241 EHH393241:EHT393241 ERD393241:ERP393241 FAZ393241:FBL393241 FKV393241:FLH393241 FUR393241:FVD393241 GEN393241:GEZ393241 GOJ393241:GOV393241 GYF393241:GYR393241 HIB393241:HIN393241 HRX393241:HSJ393241 IBT393241:ICF393241 ILP393241:IMB393241 IVL393241:IVX393241 JFH393241:JFT393241 JPD393241:JPP393241 JYZ393241:JZL393241 KIV393241:KJH393241 KSR393241:KTD393241 LCN393241:LCZ393241 LMJ393241:LMV393241 LWF393241:LWR393241 MGB393241:MGN393241 MPX393241:MQJ393241 MZT393241:NAF393241 NJP393241:NKB393241 NTL393241:NTX393241 ODH393241:ODT393241 OND393241:ONP393241 OWZ393241:OXL393241 PGV393241:PHH393241 PQR393241:PRD393241 QAN393241:QAZ393241 QKJ393241:QKV393241 QUF393241:QUR393241 REB393241:REN393241 RNX393241:ROJ393241 RXT393241:RYF393241 SHP393241:SIB393241 SRL393241:SRX393241 TBH393241:TBT393241 TLD393241:TLP393241 TUZ393241:TVL393241 UEV393241:UFH393241 UOR393241:UPD393241 UYN393241:UYZ393241 VIJ393241:VIV393241 VSF393241:VSR393241 WCB393241:WCN393241 WLX393241:WMJ393241 WVT393241:WWF393241 L458777:X458777 JH458777:JT458777 TD458777:TP458777 ACZ458777:ADL458777 AMV458777:ANH458777 AWR458777:AXD458777 BGN458777:BGZ458777 BQJ458777:BQV458777 CAF458777:CAR458777 CKB458777:CKN458777 CTX458777:CUJ458777 DDT458777:DEF458777 DNP458777:DOB458777 DXL458777:DXX458777 EHH458777:EHT458777 ERD458777:ERP458777 FAZ458777:FBL458777 FKV458777:FLH458777 FUR458777:FVD458777 GEN458777:GEZ458777 GOJ458777:GOV458777 GYF458777:GYR458777 HIB458777:HIN458777 HRX458777:HSJ458777 IBT458777:ICF458777 ILP458777:IMB458777 IVL458777:IVX458777 JFH458777:JFT458777 JPD458777:JPP458777 JYZ458777:JZL458777 KIV458777:KJH458777 KSR458777:KTD458777 LCN458777:LCZ458777 LMJ458777:LMV458777 LWF458777:LWR458777 MGB458777:MGN458777 MPX458777:MQJ458777 MZT458777:NAF458777 NJP458777:NKB458777 NTL458777:NTX458777 ODH458777:ODT458777 OND458777:ONP458777 OWZ458777:OXL458777 PGV458777:PHH458777 PQR458777:PRD458777 QAN458777:QAZ458777 QKJ458777:QKV458777 QUF458777:QUR458777 REB458777:REN458777 RNX458777:ROJ458777 RXT458777:RYF458777 SHP458777:SIB458777 SRL458777:SRX458777 TBH458777:TBT458777 TLD458777:TLP458777 TUZ458777:TVL458777 UEV458777:UFH458777 UOR458777:UPD458777 UYN458777:UYZ458777 VIJ458777:VIV458777 VSF458777:VSR458777 WCB458777:WCN458777 WLX458777:WMJ458777 WVT458777:WWF458777 L524313:X524313 JH524313:JT524313 TD524313:TP524313 ACZ524313:ADL524313 AMV524313:ANH524313 AWR524313:AXD524313 BGN524313:BGZ524313 BQJ524313:BQV524313 CAF524313:CAR524313 CKB524313:CKN524313 CTX524313:CUJ524313 DDT524313:DEF524313 DNP524313:DOB524313 DXL524313:DXX524313 EHH524313:EHT524313 ERD524313:ERP524313 FAZ524313:FBL524313 FKV524313:FLH524313 FUR524313:FVD524313 GEN524313:GEZ524313 GOJ524313:GOV524313 GYF524313:GYR524313 HIB524313:HIN524313 HRX524313:HSJ524313 IBT524313:ICF524313 ILP524313:IMB524313 IVL524313:IVX524313 JFH524313:JFT524313 JPD524313:JPP524313 JYZ524313:JZL524313 KIV524313:KJH524313 KSR524313:KTD524313 LCN524313:LCZ524313 LMJ524313:LMV524313 LWF524313:LWR524313 MGB524313:MGN524313 MPX524313:MQJ524313 MZT524313:NAF524313 NJP524313:NKB524313 NTL524313:NTX524313 ODH524313:ODT524313 OND524313:ONP524313 OWZ524313:OXL524313 PGV524313:PHH524313 PQR524313:PRD524313 QAN524313:QAZ524313 QKJ524313:QKV524313 QUF524313:QUR524313 REB524313:REN524313 RNX524313:ROJ524313 RXT524313:RYF524313 SHP524313:SIB524313 SRL524313:SRX524313 TBH524313:TBT524313 TLD524313:TLP524313 TUZ524313:TVL524313 UEV524313:UFH524313 UOR524313:UPD524313 UYN524313:UYZ524313 VIJ524313:VIV524313 VSF524313:VSR524313 WCB524313:WCN524313 WLX524313:WMJ524313 WVT524313:WWF524313 L589849:X589849 JH589849:JT589849 TD589849:TP589849 ACZ589849:ADL589849 AMV589849:ANH589849 AWR589849:AXD589849 BGN589849:BGZ589849 BQJ589849:BQV589849 CAF589849:CAR589849 CKB589849:CKN589849 CTX589849:CUJ589849 DDT589849:DEF589849 DNP589849:DOB589849 DXL589849:DXX589849 EHH589849:EHT589849 ERD589849:ERP589849 FAZ589849:FBL589849 FKV589849:FLH589849 FUR589849:FVD589849 GEN589849:GEZ589849 GOJ589849:GOV589849 GYF589849:GYR589849 HIB589849:HIN589849 HRX589849:HSJ589849 IBT589849:ICF589849 ILP589849:IMB589849 IVL589849:IVX589849 JFH589849:JFT589849 JPD589849:JPP589849 JYZ589849:JZL589849 KIV589849:KJH589849 KSR589849:KTD589849 LCN589849:LCZ589849 LMJ589849:LMV589849 LWF589849:LWR589849 MGB589849:MGN589849 MPX589849:MQJ589849 MZT589849:NAF589849 NJP589849:NKB589849 NTL589849:NTX589849 ODH589849:ODT589849 OND589849:ONP589849 OWZ589849:OXL589849 PGV589849:PHH589849 PQR589849:PRD589849 QAN589849:QAZ589849 QKJ589849:QKV589849 QUF589849:QUR589849 REB589849:REN589849 RNX589849:ROJ589849 RXT589849:RYF589849 SHP589849:SIB589849 SRL589849:SRX589849 TBH589849:TBT589849 TLD589849:TLP589849 TUZ589849:TVL589849 UEV589849:UFH589849 UOR589849:UPD589849 UYN589849:UYZ589849 VIJ589849:VIV589849 VSF589849:VSR589849 WCB589849:WCN589849 WLX589849:WMJ589849 WVT589849:WWF589849 L655385:X655385 JH655385:JT655385 TD655385:TP655385 ACZ655385:ADL655385 AMV655385:ANH655385 AWR655385:AXD655385 BGN655385:BGZ655385 BQJ655385:BQV655385 CAF655385:CAR655385 CKB655385:CKN655385 CTX655385:CUJ655385 DDT655385:DEF655385 DNP655385:DOB655385 DXL655385:DXX655385 EHH655385:EHT655385 ERD655385:ERP655385 FAZ655385:FBL655385 FKV655385:FLH655385 FUR655385:FVD655385 GEN655385:GEZ655385 GOJ655385:GOV655385 GYF655385:GYR655385 HIB655385:HIN655385 HRX655385:HSJ655385 IBT655385:ICF655385 ILP655385:IMB655385 IVL655385:IVX655385 JFH655385:JFT655385 JPD655385:JPP655385 JYZ655385:JZL655385 KIV655385:KJH655385 KSR655385:KTD655385 LCN655385:LCZ655385 LMJ655385:LMV655385 LWF655385:LWR655385 MGB655385:MGN655385 MPX655385:MQJ655385 MZT655385:NAF655385 NJP655385:NKB655385 NTL655385:NTX655385 ODH655385:ODT655385 OND655385:ONP655385 OWZ655385:OXL655385 PGV655385:PHH655385 PQR655385:PRD655385 QAN655385:QAZ655385 QKJ655385:QKV655385 QUF655385:QUR655385 REB655385:REN655385 RNX655385:ROJ655385 RXT655385:RYF655385 SHP655385:SIB655385 SRL655385:SRX655385 TBH655385:TBT655385 TLD655385:TLP655385 TUZ655385:TVL655385 UEV655385:UFH655385 UOR655385:UPD655385 UYN655385:UYZ655385 VIJ655385:VIV655385 VSF655385:VSR655385 WCB655385:WCN655385 WLX655385:WMJ655385 WVT655385:WWF655385 L720921:X720921 JH720921:JT720921 TD720921:TP720921 ACZ720921:ADL720921 AMV720921:ANH720921 AWR720921:AXD720921 BGN720921:BGZ720921 BQJ720921:BQV720921 CAF720921:CAR720921 CKB720921:CKN720921 CTX720921:CUJ720921 DDT720921:DEF720921 DNP720921:DOB720921 DXL720921:DXX720921 EHH720921:EHT720921 ERD720921:ERP720921 FAZ720921:FBL720921 FKV720921:FLH720921 FUR720921:FVD720921 GEN720921:GEZ720921 GOJ720921:GOV720921 GYF720921:GYR720921 HIB720921:HIN720921 HRX720921:HSJ720921 IBT720921:ICF720921 ILP720921:IMB720921 IVL720921:IVX720921 JFH720921:JFT720921 JPD720921:JPP720921 JYZ720921:JZL720921 KIV720921:KJH720921 KSR720921:KTD720921 LCN720921:LCZ720921 LMJ720921:LMV720921 LWF720921:LWR720921 MGB720921:MGN720921 MPX720921:MQJ720921 MZT720921:NAF720921 NJP720921:NKB720921 NTL720921:NTX720921 ODH720921:ODT720921 OND720921:ONP720921 OWZ720921:OXL720921 PGV720921:PHH720921 PQR720921:PRD720921 QAN720921:QAZ720921 QKJ720921:QKV720921 QUF720921:QUR720921 REB720921:REN720921 RNX720921:ROJ720921 RXT720921:RYF720921 SHP720921:SIB720921 SRL720921:SRX720921 TBH720921:TBT720921 TLD720921:TLP720921 TUZ720921:TVL720921 UEV720921:UFH720921 UOR720921:UPD720921 UYN720921:UYZ720921 VIJ720921:VIV720921 VSF720921:VSR720921 WCB720921:WCN720921 WLX720921:WMJ720921 WVT720921:WWF720921 L786457:X786457 JH786457:JT786457 TD786457:TP786457 ACZ786457:ADL786457 AMV786457:ANH786457 AWR786457:AXD786457 BGN786457:BGZ786457 BQJ786457:BQV786457 CAF786457:CAR786457 CKB786457:CKN786457 CTX786457:CUJ786457 DDT786457:DEF786457 DNP786457:DOB786457 DXL786457:DXX786457 EHH786457:EHT786457 ERD786457:ERP786457 FAZ786457:FBL786457 FKV786457:FLH786457 FUR786457:FVD786457 GEN786457:GEZ786457 GOJ786457:GOV786457 GYF786457:GYR786457 HIB786457:HIN786457 HRX786457:HSJ786457 IBT786457:ICF786457 ILP786457:IMB786457 IVL786457:IVX786457 JFH786457:JFT786457 JPD786457:JPP786457 JYZ786457:JZL786457 KIV786457:KJH786457 KSR786457:KTD786457 LCN786457:LCZ786457 LMJ786457:LMV786457 LWF786457:LWR786457 MGB786457:MGN786457 MPX786457:MQJ786457 MZT786457:NAF786457 NJP786457:NKB786457 NTL786457:NTX786457 ODH786457:ODT786457 OND786457:ONP786457 OWZ786457:OXL786457 PGV786457:PHH786457 PQR786457:PRD786457 QAN786457:QAZ786457 QKJ786457:QKV786457 QUF786457:QUR786457 REB786457:REN786457 RNX786457:ROJ786457 RXT786457:RYF786457 SHP786457:SIB786457 SRL786457:SRX786457 TBH786457:TBT786457 TLD786457:TLP786457 TUZ786457:TVL786457 UEV786457:UFH786457 UOR786457:UPD786457 UYN786457:UYZ786457 VIJ786457:VIV786457 VSF786457:VSR786457 WCB786457:WCN786457 WLX786457:WMJ786457 WVT786457:WWF786457 L851993:X851993 JH851993:JT851993 TD851993:TP851993 ACZ851993:ADL851993 AMV851993:ANH851993 AWR851993:AXD851993 BGN851993:BGZ851993 BQJ851993:BQV851993 CAF851993:CAR851993 CKB851993:CKN851993 CTX851993:CUJ851993 DDT851993:DEF851993 DNP851993:DOB851993 DXL851993:DXX851993 EHH851993:EHT851993 ERD851993:ERP851993 FAZ851993:FBL851993 FKV851993:FLH851993 FUR851993:FVD851993 GEN851993:GEZ851993 GOJ851993:GOV851993 GYF851993:GYR851993 HIB851993:HIN851993 HRX851993:HSJ851993 IBT851993:ICF851993 ILP851993:IMB851993 IVL851993:IVX851993 JFH851993:JFT851993 JPD851993:JPP851993 JYZ851993:JZL851993 KIV851993:KJH851993 KSR851993:KTD851993 LCN851993:LCZ851993 LMJ851993:LMV851993 LWF851993:LWR851993 MGB851993:MGN851993 MPX851993:MQJ851993 MZT851993:NAF851993 NJP851993:NKB851993 NTL851993:NTX851993 ODH851993:ODT851993 OND851993:ONP851993 OWZ851993:OXL851993 PGV851993:PHH851993 PQR851993:PRD851993 QAN851993:QAZ851993 QKJ851993:QKV851993 QUF851993:QUR851993 REB851993:REN851993 RNX851993:ROJ851993 RXT851993:RYF851993 SHP851993:SIB851993 SRL851993:SRX851993 TBH851993:TBT851993 TLD851993:TLP851993 TUZ851993:TVL851993 UEV851993:UFH851993 UOR851993:UPD851993 UYN851993:UYZ851993 VIJ851993:VIV851993 VSF851993:VSR851993 WCB851993:WCN851993 WLX851993:WMJ851993 WVT851993:WWF851993 L917529:X917529 JH917529:JT917529 TD917529:TP917529 ACZ917529:ADL917529 AMV917529:ANH917529 AWR917529:AXD917529 BGN917529:BGZ917529 BQJ917529:BQV917529 CAF917529:CAR917529 CKB917529:CKN917529 CTX917529:CUJ917529 DDT917529:DEF917529 DNP917529:DOB917529 DXL917529:DXX917529 EHH917529:EHT917529 ERD917529:ERP917529 FAZ917529:FBL917529 FKV917529:FLH917529 FUR917529:FVD917529 GEN917529:GEZ917529 GOJ917529:GOV917529 GYF917529:GYR917529 HIB917529:HIN917529 HRX917529:HSJ917529 IBT917529:ICF917529 ILP917529:IMB917529 IVL917529:IVX917529 JFH917529:JFT917529 JPD917529:JPP917529 JYZ917529:JZL917529 KIV917529:KJH917529 KSR917529:KTD917529 LCN917529:LCZ917529 LMJ917529:LMV917529 LWF917529:LWR917529 MGB917529:MGN917529 MPX917529:MQJ917529 MZT917529:NAF917529 NJP917529:NKB917529 NTL917529:NTX917529 ODH917529:ODT917529 OND917529:ONP917529 OWZ917529:OXL917529 PGV917529:PHH917529 PQR917529:PRD917529 QAN917529:QAZ917529 QKJ917529:QKV917529 QUF917529:QUR917529 REB917529:REN917529 RNX917529:ROJ917529 RXT917529:RYF917529 SHP917529:SIB917529 SRL917529:SRX917529 TBH917529:TBT917529 TLD917529:TLP917529 TUZ917529:TVL917529 UEV917529:UFH917529 UOR917529:UPD917529 UYN917529:UYZ917529 VIJ917529:VIV917529 VSF917529:VSR917529 WCB917529:WCN917529 WLX917529:WMJ917529 WVT917529:WWF917529 L983065:X983065 JH983065:JT983065 TD983065:TP983065 ACZ983065:ADL983065 AMV983065:ANH983065 AWR983065:AXD983065 BGN983065:BGZ983065 BQJ983065:BQV983065 CAF983065:CAR983065 CKB983065:CKN983065 CTX983065:CUJ983065 DDT983065:DEF983065 DNP983065:DOB983065 DXL983065:DXX983065 EHH983065:EHT983065 ERD983065:ERP983065 FAZ983065:FBL983065 FKV983065:FLH983065 FUR983065:FVD983065 GEN983065:GEZ983065 GOJ983065:GOV983065 GYF983065:GYR983065 HIB983065:HIN983065 HRX983065:HSJ983065 IBT983065:ICF983065 ILP983065:IMB983065 IVL983065:IVX983065 JFH983065:JFT983065 JPD983065:JPP983065 JYZ983065:JZL983065 KIV983065:KJH983065 KSR983065:KTD983065 LCN983065:LCZ983065 LMJ983065:LMV983065 LWF983065:LWR983065 MGB983065:MGN983065 MPX983065:MQJ983065 MZT983065:NAF983065 NJP983065:NKB983065 NTL983065:NTX983065 ODH983065:ODT983065 OND983065:ONP983065 OWZ983065:OXL983065 PGV983065:PHH983065 PQR983065:PRD983065 QAN983065:QAZ983065 QKJ983065:QKV983065 QUF983065:QUR983065 REB983065:REN983065 RNX983065:ROJ983065 RXT983065:RYF983065 SHP983065:SIB983065 SRL983065:SRX983065 TBH983065:TBT983065 TLD983065:TLP983065 TUZ983065:TVL983065 UEV983065:UFH983065 UOR983065:UPD983065 UYN983065:UYZ983065 VIJ983065:VIV983065 VSF983065:VSR983065 WCB983065:WCN983065 WLX983065:WMJ983065" xr:uid="{6E407352-01FE-4804-9F04-CB24B04459C9}"/>
    <dataValidation imeMode="fullAlpha" allowBlank="1" showInputMessage="1" showErrorMessage="1"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F09DCEE2-3F8D-44AD-8604-875FE4EAAC89}"/>
    <dataValidation type="list" imeMode="fullAlpha" allowBlank="1" showInputMessage="1" showErrorMessage="1" sqref="I26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I30 WVQ983068 WLU983068 WBY983068 VSC983068 VIG983068 UYK983068 UOO983068 UES983068 TUW983068 TLA983068 TBE983068 SRI983068 SHM983068 RXQ983068 RNU983068 RDY983068 QUC983068 QKG983068 QAK983068 PQO983068 PGS983068 OWW983068 ONA983068 ODE983068 NTI983068 NJM983068 MZQ983068 MPU983068 MFY983068 LWC983068 LMG983068 LCK983068 KSO983068 KIS983068 JYW983068 JPA983068 JFE983068 IVI983068 ILM983068 IBQ983068 HRU983068 HHY983068 GYC983068 GOG983068 GEK983068 FUO983068 FKS983068 FAW983068 ERA983068 EHE983068 DXI983068 DNM983068 DDQ983068 CTU983068 CJY983068 CAC983068 BQG983068 BGK983068 AWO983068 AMS983068 ACW983068 TA983068 JE983068 I983068 WVQ917532 WLU917532 WBY917532 VSC917532 VIG917532 UYK917532 UOO917532 UES917532 TUW917532 TLA917532 TBE917532 SRI917532 SHM917532 RXQ917532 RNU917532 RDY917532 QUC917532 QKG917532 QAK917532 PQO917532 PGS917532 OWW917532 ONA917532 ODE917532 NTI917532 NJM917532 MZQ917532 MPU917532 MFY917532 LWC917532 LMG917532 LCK917532 KSO917532 KIS917532 JYW917532 JPA917532 JFE917532 IVI917532 ILM917532 IBQ917532 HRU917532 HHY917532 GYC917532 GOG917532 GEK917532 FUO917532 FKS917532 FAW917532 ERA917532 EHE917532 DXI917532 DNM917532 DDQ917532 CTU917532 CJY917532 CAC917532 BQG917532 BGK917532 AWO917532 AMS917532 ACW917532 TA917532 JE917532 I917532 WVQ851996 WLU851996 WBY851996 VSC851996 VIG851996 UYK851996 UOO851996 UES851996 TUW851996 TLA851996 TBE851996 SRI851996 SHM851996 RXQ851996 RNU851996 RDY851996 QUC851996 QKG851996 QAK851996 PQO851996 PGS851996 OWW851996 ONA851996 ODE851996 NTI851996 NJM851996 MZQ851996 MPU851996 MFY851996 LWC851996 LMG851996 LCK851996 KSO851996 KIS851996 JYW851996 JPA851996 JFE851996 IVI851996 ILM851996 IBQ851996 HRU851996 HHY851996 GYC851996 GOG851996 GEK851996 FUO851996 FKS851996 FAW851996 ERA851996 EHE851996 DXI851996 DNM851996 DDQ851996 CTU851996 CJY851996 CAC851996 BQG851996 BGK851996 AWO851996 AMS851996 ACW851996 TA851996 JE851996 I851996 WVQ786460 WLU786460 WBY786460 VSC786460 VIG786460 UYK786460 UOO786460 UES786460 TUW786460 TLA786460 TBE786460 SRI786460 SHM786460 RXQ786460 RNU786460 RDY786460 QUC786460 QKG786460 QAK786460 PQO786460 PGS786460 OWW786460 ONA786460 ODE786460 NTI786460 NJM786460 MZQ786460 MPU786460 MFY786460 LWC786460 LMG786460 LCK786460 KSO786460 KIS786460 JYW786460 JPA786460 JFE786460 IVI786460 ILM786460 IBQ786460 HRU786460 HHY786460 GYC786460 GOG786460 GEK786460 FUO786460 FKS786460 FAW786460 ERA786460 EHE786460 DXI786460 DNM786460 DDQ786460 CTU786460 CJY786460 CAC786460 BQG786460 BGK786460 AWO786460 AMS786460 ACW786460 TA786460 JE786460 I786460 WVQ720924 WLU720924 WBY720924 VSC720924 VIG720924 UYK720924 UOO720924 UES720924 TUW720924 TLA720924 TBE720924 SRI720924 SHM720924 RXQ720924 RNU720924 RDY720924 QUC720924 QKG720924 QAK720924 PQO720924 PGS720924 OWW720924 ONA720924 ODE720924 NTI720924 NJM720924 MZQ720924 MPU720924 MFY720924 LWC720924 LMG720924 LCK720924 KSO720924 KIS720924 JYW720924 JPA720924 JFE720924 IVI720924 ILM720924 IBQ720924 HRU720924 HHY720924 GYC720924 GOG720924 GEK720924 FUO720924 FKS720924 FAW720924 ERA720924 EHE720924 DXI720924 DNM720924 DDQ720924 CTU720924 CJY720924 CAC720924 BQG720924 BGK720924 AWO720924 AMS720924 ACW720924 TA720924 JE720924 I720924 WVQ655388 WLU655388 WBY655388 VSC655388 VIG655388 UYK655388 UOO655388 UES655388 TUW655388 TLA655388 TBE655388 SRI655388 SHM655388 RXQ655388 RNU655388 RDY655388 QUC655388 QKG655388 QAK655388 PQO655388 PGS655388 OWW655388 ONA655388 ODE655388 NTI655388 NJM655388 MZQ655388 MPU655388 MFY655388 LWC655388 LMG655388 LCK655388 KSO655388 KIS655388 JYW655388 JPA655388 JFE655388 IVI655388 ILM655388 IBQ655388 HRU655388 HHY655388 GYC655388 GOG655388 GEK655388 FUO655388 FKS655388 FAW655388 ERA655388 EHE655388 DXI655388 DNM655388 DDQ655388 CTU655388 CJY655388 CAC655388 BQG655388 BGK655388 AWO655388 AMS655388 ACW655388 TA655388 JE655388 I655388 WVQ589852 WLU589852 WBY589852 VSC589852 VIG589852 UYK589852 UOO589852 UES589852 TUW589852 TLA589852 TBE589852 SRI589852 SHM589852 RXQ589852 RNU589852 RDY589852 QUC589852 QKG589852 QAK589852 PQO589852 PGS589852 OWW589852 ONA589852 ODE589852 NTI589852 NJM589852 MZQ589852 MPU589852 MFY589852 LWC589852 LMG589852 LCK589852 KSO589852 KIS589852 JYW589852 JPA589852 JFE589852 IVI589852 ILM589852 IBQ589852 HRU589852 HHY589852 GYC589852 GOG589852 GEK589852 FUO589852 FKS589852 FAW589852 ERA589852 EHE589852 DXI589852 DNM589852 DDQ589852 CTU589852 CJY589852 CAC589852 BQG589852 BGK589852 AWO589852 AMS589852 ACW589852 TA589852 JE589852 I589852 WVQ524316 WLU524316 WBY524316 VSC524316 VIG524316 UYK524316 UOO524316 UES524316 TUW524316 TLA524316 TBE524316 SRI524316 SHM524316 RXQ524316 RNU524316 RDY524316 QUC524316 QKG524316 QAK524316 PQO524316 PGS524316 OWW524316 ONA524316 ODE524316 NTI524316 NJM524316 MZQ524316 MPU524316 MFY524316 LWC524316 LMG524316 LCK524316 KSO524316 KIS524316 JYW524316 JPA524316 JFE524316 IVI524316 ILM524316 IBQ524316 HRU524316 HHY524316 GYC524316 GOG524316 GEK524316 FUO524316 FKS524316 FAW524316 ERA524316 EHE524316 DXI524316 DNM524316 DDQ524316 CTU524316 CJY524316 CAC524316 BQG524316 BGK524316 AWO524316 AMS524316 ACW524316 TA524316 JE524316 I524316 WVQ458780 WLU458780 WBY458780 VSC458780 VIG458780 UYK458780 UOO458780 UES458780 TUW458780 TLA458780 TBE458780 SRI458780 SHM458780 RXQ458780 RNU458780 RDY458780 QUC458780 QKG458780 QAK458780 PQO458780 PGS458780 OWW458780 ONA458780 ODE458780 NTI458780 NJM458780 MZQ458780 MPU458780 MFY458780 LWC458780 LMG458780 LCK458780 KSO458780 KIS458780 JYW458780 JPA458780 JFE458780 IVI458780 ILM458780 IBQ458780 HRU458780 HHY458780 GYC458780 GOG458780 GEK458780 FUO458780 FKS458780 FAW458780 ERA458780 EHE458780 DXI458780 DNM458780 DDQ458780 CTU458780 CJY458780 CAC458780 BQG458780 BGK458780 AWO458780 AMS458780 ACW458780 TA458780 JE458780 I458780 WVQ393244 WLU393244 WBY393244 VSC393244 VIG393244 UYK393244 UOO393244 UES393244 TUW393244 TLA393244 TBE393244 SRI393244 SHM393244 RXQ393244 RNU393244 RDY393244 QUC393244 QKG393244 QAK393244 PQO393244 PGS393244 OWW393244 ONA393244 ODE393244 NTI393244 NJM393244 MZQ393244 MPU393244 MFY393244 LWC393244 LMG393244 LCK393244 KSO393244 KIS393244 JYW393244 JPA393244 JFE393244 IVI393244 ILM393244 IBQ393244 HRU393244 HHY393244 GYC393244 GOG393244 GEK393244 FUO393244 FKS393244 FAW393244 ERA393244 EHE393244 DXI393244 DNM393244 DDQ393244 CTU393244 CJY393244 CAC393244 BQG393244 BGK393244 AWO393244 AMS393244 ACW393244 TA393244 JE393244 I393244 WVQ327708 WLU327708 WBY327708 VSC327708 VIG327708 UYK327708 UOO327708 UES327708 TUW327708 TLA327708 TBE327708 SRI327708 SHM327708 RXQ327708 RNU327708 RDY327708 QUC327708 QKG327708 QAK327708 PQO327708 PGS327708 OWW327708 ONA327708 ODE327708 NTI327708 NJM327708 MZQ327708 MPU327708 MFY327708 LWC327708 LMG327708 LCK327708 KSO327708 KIS327708 JYW327708 JPA327708 JFE327708 IVI327708 ILM327708 IBQ327708 HRU327708 HHY327708 GYC327708 GOG327708 GEK327708 FUO327708 FKS327708 FAW327708 ERA327708 EHE327708 DXI327708 DNM327708 DDQ327708 CTU327708 CJY327708 CAC327708 BQG327708 BGK327708 AWO327708 AMS327708 ACW327708 TA327708 JE327708 I327708 WVQ262172 WLU262172 WBY262172 VSC262172 VIG262172 UYK262172 UOO262172 UES262172 TUW262172 TLA262172 TBE262172 SRI262172 SHM262172 RXQ262172 RNU262172 RDY262172 QUC262172 QKG262172 QAK262172 PQO262172 PGS262172 OWW262172 ONA262172 ODE262172 NTI262172 NJM262172 MZQ262172 MPU262172 MFY262172 LWC262172 LMG262172 LCK262172 KSO262172 KIS262172 JYW262172 JPA262172 JFE262172 IVI262172 ILM262172 IBQ262172 HRU262172 HHY262172 GYC262172 GOG262172 GEK262172 FUO262172 FKS262172 FAW262172 ERA262172 EHE262172 DXI262172 DNM262172 DDQ262172 CTU262172 CJY262172 CAC262172 BQG262172 BGK262172 AWO262172 AMS262172 ACW262172 TA262172 JE262172 I262172 WVQ196636 WLU196636 WBY196636 VSC196636 VIG196636 UYK196636 UOO196636 UES196636 TUW196636 TLA196636 TBE196636 SRI196636 SHM196636 RXQ196636 RNU196636 RDY196636 QUC196636 QKG196636 QAK196636 PQO196636 PGS196636 OWW196636 ONA196636 ODE196636 NTI196636 NJM196636 MZQ196636 MPU196636 MFY196636 LWC196636 LMG196636 LCK196636 KSO196636 KIS196636 JYW196636 JPA196636 JFE196636 IVI196636 ILM196636 IBQ196636 HRU196636 HHY196636 GYC196636 GOG196636 GEK196636 FUO196636 FKS196636 FAW196636 ERA196636 EHE196636 DXI196636 DNM196636 DDQ196636 CTU196636 CJY196636 CAC196636 BQG196636 BGK196636 AWO196636 AMS196636 ACW196636 TA196636 JE196636 I196636 WVQ131100 WLU131100 WBY131100 VSC131100 VIG131100 UYK131100 UOO131100 UES131100 TUW131100 TLA131100 TBE131100 SRI131100 SHM131100 RXQ131100 RNU131100 RDY131100 QUC131100 QKG131100 QAK131100 PQO131100 PGS131100 OWW131100 ONA131100 ODE131100 NTI131100 NJM131100 MZQ131100 MPU131100 MFY131100 LWC131100 LMG131100 LCK131100 KSO131100 KIS131100 JYW131100 JPA131100 JFE131100 IVI131100 ILM131100 IBQ131100 HRU131100 HHY131100 GYC131100 GOG131100 GEK131100 FUO131100 FKS131100 FAW131100 ERA131100 EHE131100 DXI131100 DNM131100 DDQ131100 CTU131100 CJY131100 CAC131100 BQG131100 BGK131100 AWO131100 AMS131100 ACW131100 TA131100 JE131100 I131100 WVQ65564 WLU65564 WBY65564 VSC65564 VIG65564 UYK65564 UOO65564 UES65564 TUW65564 TLA65564 TBE65564 SRI65564 SHM65564 RXQ65564 RNU65564 RDY65564 QUC65564 QKG65564 QAK65564 PQO65564 PGS65564 OWW65564 ONA65564 ODE65564 NTI65564 NJM65564 MZQ65564 MPU65564 MFY65564 LWC65564 LMG65564 LCK65564 KSO65564 KIS65564 JYW65564 JPA65564 JFE65564 IVI65564 ILM65564 IBQ65564 HRU65564 HHY65564 GYC65564 GOG65564 GEK65564 FUO65564 FKS65564 FAW65564 ERA65564 EHE65564 DXI65564 DNM65564 DDQ65564 CTU65564 CJY65564 CAC65564 BQG65564 BGK65564 AWO65564 AMS65564 ACW65564 TA65564 JE65564 I65564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I28 WVQ983066 WLU983066 WBY983066 VSC983066 VIG983066 UYK983066 UOO983066 UES983066 TUW983066 TLA983066 TBE983066 SRI983066 SHM983066 RXQ983066 RNU983066 RDY983066 QUC983066 QKG983066 QAK983066 PQO983066 PGS983066 OWW983066 ONA983066 ODE983066 NTI983066 NJM983066 MZQ983066 MPU983066 MFY983066 LWC983066 LMG983066 LCK983066 KSO983066 KIS983066 JYW983066 JPA983066 JFE983066 IVI983066 ILM983066 IBQ983066 HRU983066 HHY983066 GYC983066 GOG983066 GEK983066 FUO983066 FKS983066 FAW983066 ERA983066 EHE983066 DXI983066 DNM983066 DDQ983066 CTU983066 CJY983066 CAC983066 BQG983066 BGK983066 AWO983066 AMS983066 ACW983066 TA983066 JE983066 I983066 WVQ917530 WLU917530 WBY917530 VSC917530 VIG917530 UYK917530 UOO917530 UES917530 TUW917530 TLA917530 TBE917530 SRI917530 SHM917530 RXQ917530 RNU917530 RDY917530 QUC917530 QKG917530 QAK917530 PQO917530 PGS917530 OWW917530 ONA917530 ODE917530 NTI917530 NJM917530 MZQ917530 MPU917530 MFY917530 LWC917530 LMG917530 LCK917530 KSO917530 KIS917530 JYW917530 JPA917530 JFE917530 IVI917530 ILM917530 IBQ917530 HRU917530 HHY917530 GYC917530 GOG917530 GEK917530 FUO917530 FKS917530 FAW917530 ERA917530 EHE917530 DXI917530 DNM917530 DDQ917530 CTU917530 CJY917530 CAC917530 BQG917530 BGK917530 AWO917530 AMS917530 ACW917530 TA917530 JE917530 I917530 WVQ851994 WLU851994 WBY851994 VSC851994 VIG851994 UYK851994 UOO851994 UES851994 TUW851994 TLA851994 TBE851994 SRI851994 SHM851994 RXQ851994 RNU851994 RDY851994 QUC851994 QKG851994 QAK851994 PQO851994 PGS851994 OWW851994 ONA851994 ODE851994 NTI851994 NJM851994 MZQ851994 MPU851994 MFY851994 LWC851994 LMG851994 LCK851994 KSO851994 KIS851994 JYW851994 JPA851994 JFE851994 IVI851994 ILM851994 IBQ851994 HRU851994 HHY851994 GYC851994 GOG851994 GEK851994 FUO851994 FKS851994 FAW851994 ERA851994 EHE851994 DXI851994 DNM851994 DDQ851994 CTU851994 CJY851994 CAC851994 BQG851994 BGK851994 AWO851994 AMS851994 ACW851994 TA851994 JE851994 I851994 WVQ786458 WLU786458 WBY786458 VSC786458 VIG786458 UYK786458 UOO786458 UES786458 TUW786458 TLA786458 TBE786458 SRI786458 SHM786458 RXQ786458 RNU786458 RDY786458 QUC786458 QKG786458 QAK786458 PQO786458 PGS786458 OWW786458 ONA786458 ODE786458 NTI786458 NJM786458 MZQ786458 MPU786458 MFY786458 LWC786458 LMG786458 LCK786458 KSO786458 KIS786458 JYW786458 JPA786458 JFE786458 IVI786458 ILM786458 IBQ786458 HRU786458 HHY786458 GYC786458 GOG786458 GEK786458 FUO786458 FKS786458 FAW786458 ERA786458 EHE786458 DXI786458 DNM786458 DDQ786458 CTU786458 CJY786458 CAC786458 BQG786458 BGK786458 AWO786458 AMS786458 ACW786458 TA786458 JE786458 I786458 WVQ720922 WLU720922 WBY720922 VSC720922 VIG720922 UYK720922 UOO720922 UES720922 TUW720922 TLA720922 TBE720922 SRI720922 SHM720922 RXQ720922 RNU720922 RDY720922 QUC720922 QKG720922 QAK720922 PQO720922 PGS720922 OWW720922 ONA720922 ODE720922 NTI720922 NJM720922 MZQ720922 MPU720922 MFY720922 LWC720922 LMG720922 LCK720922 KSO720922 KIS720922 JYW720922 JPA720922 JFE720922 IVI720922 ILM720922 IBQ720922 HRU720922 HHY720922 GYC720922 GOG720922 GEK720922 FUO720922 FKS720922 FAW720922 ERA720922 EHE720922 DXI720922 DNM720922 DDQ720922 CTU720922 CJY720922 CAC720922 BQG720922 BGK720922 AWO720922 AMS720922 ACW720922 TA720922 JE720922 I720922 WVQ655386 WLU655386 WBY655386 VSC655386 VIG655386 UYK655386 UOO655386 UES655386 TUW655386 TLA655386 TBE655386 SRI655386 SHM655386 RXQ655386 RNU655386 RDY655386 QUC655386 QKG655386 QAK655386 PQO655386 PGS655386 OWW655386 ONA655386 ODE655386 NTI655386 NJM655386 MZQ655386 MPU655386 MFY655386 LWC655386 LMG655386 LCK655386 KSO655386 KIS655386 JYW655386 JPA655386 JFE655386 IVI655386 ILM655386 IBQ655386 HRU655386 HHY655386 GYC655386 GOG655386 GEK655386 FUO655386 FKS655386 FAW655386 ERA655386 EHE655386 DXI655386 DNM655386 DDQ655386 CTU655386 CJY655386 CAC655386 BQG655386 BGK655386 AWO655386 AMS655386 ACW655386 TA655386 JE655386 I655386 WVQ589850 WLU589850 WBY589850 VSC589850 VIG589850 UYK589850 UOO589850 UES589850 TUW589850 TLA589850 TBE589850 SRI589850 SHM589850 RXQ589850 RNU589850 RDY589850 QUC589850 QKG589850 QAK589850 PQO589850 PGS589850 OWW589850 ONA589850 ODE589850 NTI589850 NJM589850 MZQ589850 MPU589850 MFY589850 LWC589850 LMG589850 LCK589850 KSO589850 KIS589850 JYW589850 JPA589850 JFE589850 IVI589850 ILM589850 IBQ589850 HRU589850 HHY589850 GYC589850 GOG589850 GEK589850 FUO589850 FKS589850 FAW589850 ERA589850 EHE589850 DXI589850 DNM589850 DDQ589850 CTU589850 CJY589850 CAC589850 BQG589850 BGK589850 AWO589850 AMS589850 ACW589850 TA589850 JE589850 I589850 WVQ524314 WLU524314 WBY524314 VSC524314 VIG524314 UYK524314 UOO524314 UES524314 TUW524314 TLA524314 TBE524314 SRI524314 SHM524314 RXQ524314 RNU524314 RDY524314 QUC524314 QKG524314 QAK524314 PQO524314 PGS524314 OWW524314 ONA524314 ODE524314 NTI524314 NJM524314 MZQ524314 MPU524314 MFY524314 LWC524314 LMG524314 LCK524314 KSO524314 KIS524314 JYW524314 JPA524314 JFE524314 IVI524314 ILM524314 IBQ524314 HRU524314 HHY524314 GYC524314 GOG524314 GEK524314 FUO524314 FKS524314 FAW524314 ERA524314 EHE524314 DXI524314 DNM524314 DDQ524314 CTU524314 CJY524314 CAC524314 BQG524314 BGK524314 AWO524314 AMS524314 ACW524314 TA524314 JE524314 I524314 WVQ458778 WLU458778 WBY458778 VSC458778 VIG458778 UYK458778 UOO458778 UES458778 TUW458778 TLA458778 TBE458778 SRI458778 SHM458778 RXQ458778 RNU458778 RDY458778 QUC458778 QKG458778 QAK458778 PQO458778 PGS458778 OWW458778 ONA458778 ODE458778 NTI458778 NJM458778 MZQ458778 MPU458778 MFY458778 LWC458778 LMG458778 LCK458778 KSO458778 KIS458778 JYW458778 JPA458778 JFE458778 IVI458778 ILM458778 IBQ458778 HRU458778 HHY458778 GYC458778 GOG458778 GEK458778 FUO458778 FKS458778 FAW458778 ERA458778 EHE458778 DXI458778 DNM458778 DDQ458778 CTU458778 CJY458778 CAC458778 BQG458778 BGK458778 AWO458778 AMS458778 ACW458778 TA458778 JE458778 I458778 WVQ393242 WLU393242 WBY393242 VSC393242 VIG393242 UYK393242 UOO393242 UES393242 TUW393242 TLA393242 TBE393242 SRI393242 SHM393242 RXQ393242 RNU393242 RDY393242 QUC393242 QKG393242 QAK393242 PQO393242 PGS393242 OWW393242 ONA393242 ODE393242 NTI393242 NJM393242 MZQ393242 MPU393242 MFY393242 LWC393242 LMG393242 LCK393242 KSO393242 KIS393242 JYW393242 JPA393242 JFE393242 IVI393242 ILM393242 IBQ393242 HRU393242 HHY393242 GYC393242 GOG393242 GEK393242 FUO393242 FKS393242 FAW393242 ERA393242 EHE393242 DXI393242 DNM393242 DDQ393242 CTU393242 CJY393242 CAC393242 BQG393242 BGK393242 AWO393242 AMS393242 ACW393242 TA393242 JE393242 I393242 WVQ327706 WLU327706 WBY327706 VSC327706 VIG327706 UYK327706 UOO327706 UES327706 TUW327706 TLA327706 TBE327706 SRI327706 SHM327706 RXQ327706 RNU327706 RDY327706 QUC327706 QKG327706 QAK327706 PQO327706 PGS327706 OWW327706 ONA327706 ODE327706 NTI327706 NJM327706 MZQ327706 MPU327706 MFY327706 LWC327706 LMG327706 LCK327706 KSO327706 KIS327706 JYW327706 JPA327706 JFE327706 IVI327706 ILM327706 IBQ327706 HRU327706 HHY327706 GYC327706 GOG327706 GEK327706 FUO327706 FKS327706 FAW327706 ERA327706 EHE327706 DXI327706 DNM327706 DDQ327706 CTU327706 CJY327706 CAC327706 BQG327706 BGK327706 AWO327706 AMS327706 ACW327706 TA327706 JE327706 I327706 WVQ262170 WLU262170 WBY262170 VSC262170 VIG262170 UYK262170 UOO262170 UES262170 TUW262170 TLA262170 TBE262170 SRI262170 SHM262170 RXQ262170 RNU262170 RDY262170 QUC262170 QKG262170 QAK262170 PQO262170 PGS262170 OWW262170 ONA262170 ODE262170 NTI262170 NJM262170 MZQ262170 MPU262170 MFY262170 LWC262170 LMG262170 LCK262170 KSO262170 KIS262170 JYW262170 JPA262170 JFE262170 IVI262170 ILM262170 IBQ262170 HRU262170 HHY262170 GYC262170 GOG262170 GEK262170 FUO262170 FKS262170 FAW262170 ERA262170 EHE262170 DXI262170 DNM262170 DDQ262170 CTU262170 CJY262170 CAC262170 BQG262170 BGK262170 AWO262170 AMS262170 ACW262170 TA262170 JE262170 I262170 WVQ196634 WLU196634 WBY196634 VSC196634 VIG196634 UYK196634 UOO196634 UES196634 TUW196634 TLA196634 TBE196634 SRI196634 SHM196634 RXQ196634 RNU196634 RDY196634 QUC196634 QKG196634 QAK196634 PQO196634 PGS196634 OWW196634 ONA196634 ODE196634 NTI196634 NJM196634 MZQ196634 MPU196634 MFY196634 LWC196634 LMG196634 LCK196634 KSO196634 KIS196634 JYW196634 JPA196634 JFE196634 IVI196634 ILM196634 IBQ196634 HRU196634 HHY196634 GYC196634 GOG196634 GEK196634 FUO196634 FKS196634 FAW196634 ERA196634 EHE196634 DXI196634 DNM196634 DDQ196634 CTU196634 CJY196634 CAC196634 BQG196634 BGK196634 AWO196634 AMS196634 ACW196634 TA196634 JE196634 I196634 WVQ131098 WLU131098 WBY131098 VSC131098 VIG131098 UYK131098 UOO131098 UES131098 TUW131098 TLA131098 TBE131098 SRI131098 SHM131098 RXQ131098 RNU131098 RDY131098 QUC131098 QKG131098 QAK131098 PQO131098 PGS131098 OWW131098 ONA131098 ODE131098 NTI131098 NJM131098 MZQ131098 MPU131098 MFY131098 LWC131098 LMG131098 LCK131098 KSO131098 KIS131098 JYW131098 JPA131098 JFE131098 IVI131098 ILM131098 IBQ131098 HRU131098 HHY131098 GYC131098 GOG131098 GEK131098 FUO131098 FKS131098 FAW131098 ERA131098 EHE131098 DXI131098 DNM131098 DDQ131098 CTU131098 CJY131098 CAC131098 BQG131098 BGK131098 AWO131098 AMS131098 ACW131098 TA131098 JE131098 I131098 WVQ65562 WLU65562 WBY65562 VSC65562 VIG65562 UYK65562 UOO65562 UES65562 TUW65562 TLA65562 TBE65562 SRI65562 SHM65562 RXQ65562 RNU65562 RDY65562 QUC65562 QKG65562 QAK65562 PQO65562 PGS65562 OWW65562 ONA65562 ODE65562 NTI65562 NJM65562 MZQ65562 MPU65562 MFY65562 LWC65562 LMG65562 LCK65562 KSO65562 KIS65562 JYW65562 JPA65562 JFE65562 IVI65562 ILM65562 IBQ65562 HRU65562 HHY65562 GYC65562 GOG65562 GEK65562 FUO65562 FKS65562 FAW65562 ERA65562 EHE65562 DXI65562 DNM65562 DDQ65562 CTU65562 CJY65562 CAC65562 BQG65562 BGK65562 AWO65562 AMS65562 ACW65562 TA65562 JE65562 I65562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xr:uid="{DEC92959-52FE-470F-B42D-C736C70AB060}">
      <formula1>$AJ$26:$AJ$27</formula1>
    </dataValidation>
    <dataValidation type="list" allowBlank="1" showInputMessage="1" showErrorMessage="1" sqref="N26 WVY983066 WMC983066 WCG983066 VSK983066 VIO983066 UYS983066 UOW983066 UFA983066 TVE983066 TLI983066 TBM983066 SRQ983066 SHU983066 RXY983066 ROC983066 REG983066 QUK983066 QKO983066 QAS983066 PQW983066 PHA983066 OXE983066 ONI983066 ODM983066 NTQ983066 NJU983066 MZY983066 MQC983066 MGG983066 LWK983066 LMO983066 LCS983066 KSW983066 KJA983066 JZE983066 JPI983066 JFM983066 IVQ983066 ILU983066 IBY983066 HSC983066 HIG983066 GYK983066 GOO983066 GES983066 FUW983066 FLA983066 FBE983066 ERI983066 EHM983066 DXQ983066 DNU983066 DDY983066 CUC983066 CKG983066 CAK983066 BQO983066 BGS983066 AWW983066 ANA983066 ADE983066 TI983066 JM983066 Q983066 WVY917530 WMC917530 WCG917530 VSK917530 VIO917530 UYS917530 UOW917530 UFA917530 TVE917530 TLI917530 TBM917530 SRQ917530 SHU917530 RXY917530 ROC917530 REG917530 QUK917530 QKO917530 QAS917530 PQW917530 PHA917530 OXE917530 ONI917530 ODM917530 NTQ917530 NJU917530 MZY917530 MQC917530 MGG917530 LWK917530 LMO917530 LCS917530 KSW917530 KJA917530 JZE917530 JPI917530 JFM917530 IVQ917530 ILU917530 IBY917530 HSC917530 HIG917530 GYK917530 GOO917530 GES917530 FUW917530 FLA917530 FBE917530 ERI917530 EHM917530 DXQ917530 DNU917530 DDY917530 CUC917530 CKG917530 CAK917530 BQO917530 BGS917530 AWW917530 ANA917530 ADE917530 TI917530 JM917530 Q917530 WVY851994 WMC851994 WCG851994 VSK851994 VIO851994 UYS851994 UOW851994 UFA851994 TVE851994 TLI851994 TBM851994 SRQ851994 SHU851994 RXY851994 ROC851994 REG851994 QUK851994 QKO851994 QAS851994 PQW851994 PHA851994 OXE851994 ONI851994 ODM851994 NTQ851994 NJU851994 MZY851994 MQC851994 MGG851994 LWK851994 LMO851994 LCS851994 KSW851994 KJA851994 JZE851994 JPI851994 JFM851994 IVQ851994 ILU851994 IBY851994 HSC851994 HIG851994 GYK851994 GOO851994 GES851994 FUW851994 FLA851994 FBE851994 ERI851994 EHM851994 DXQ851994 DNU851994 DDY851994 CUC851994 CKG851994 CAK851994 BQO851994 BGS851994 AWW851994 ANA851994 ADE851994 TI851994 JM851994 Q851994 WVY786458 WMC786458 WCG786458 VSK786458 VIO786458 UYS786458 UOW786458 UFA786458 TVE786458 TLI786458 TBM786458 SRQ786458 SHU786458 RXY786458 ROC786458 REG786458 QUK786458 QKO786458 QAS786458 PQW786458 PHA786458 OXE786458 ONI786458 ODM786458 NTQ786458 NJU786458 MZY786458 MQC786458 MGG786458 LWK786458 LMO786458 LCS786458 KSW786458 KJA786458 JZE786458 JPI786458 JFM786458 IVQ786458 ILU786458 IBY786458 HSC786458 HIG786458 GYK786458 GOO786458 GES786458 FUW786458 FLA786458 FBE786458 ERI786458 EHM786458 DXQ786458 DNU786458 DDY786458 CUC786458 CKG786458 CAK786458 BQO786458 BGS786458 AWW786458 ANA786458 ADE786458 TI786458 JM786458 Q786458 WVY720922 WMC720922 WCG720922 VSK720922 VIO720922 UYS720922 UOW720922 UFA720922 TVE720922 TLI720922 TBM720922 SRQ720922 SHU720922 RXY720922 ROC720922 REG720922 QUK720922 QKO720922 QAS720922 PQW720922 PHA720922 OXE720922 ONI720922 ODM720922 NTQ720922 NJU720922 MZY720922 MQC720922 MGG720922 LWK720922 LMO720922 LCS720922 KSW720922 KJA720922 JZE720922 JPI720922 JFM720922 IVQ720922 ILU720922 IBY720922 HSC720922 HIG720922 GYK720922 GOO720922 GES720922 FUW720922 FLA720922 FBE720922 ERI720922 EHM720922 DXQ720922 DNU720922 DDY720922 CUC720922 CKG720922 CAK720922 BQO720922 BGS720922 AWW720922 ANA720922 ADE720922 TI720922 JM720922 Q720922 WVY655386 WMC655386 WCG655386 VSK655386 VIO655386 UYS655386 UOW655386 UFA655386 TVE655386 TLI655386 TBM655386 SRQ655386 SHU655386 RXY655386 ROC655386 REG655386 QUK655386 QKO655386 QAS655386 PQW655386 PHA655386 OXE655386 ONI655386 ODM655386 NTQ655386 NJU655386 MZY655386 MQC655386 MGG655386 LWK655386 LMO655386 LCS655386 KSW655386 KJA655386 JZE655386 JPI655386 JFM655386 IVQ655386 ILU655386 IBY655386 HSC655386 HIG655386 GYK655386 GOO655386 GES655386 FUW655386 FLA655386 FBE655386 ERI655386 EHM655386 DXQ655386 DNU655386 DDY655386 CUC655386 CKG655386 CAK655386 BQO655386 BGS655386 AWW655386 ANA655386 ADE655386 TI655386 JM655386 Q655386 WVY589850 WMC589850 WCG589850 VSK589850 VIO589850 UYS589850 UOW589850 UFA589850 TVE589850 TLI589850 TBM589850 SRQ589850 SHU589850 RXY589850 ROC589850 REG589850 QUK589850 QKO589850 QAS589850 PQW589850 PHA589850 OXE589850 ONI589850 ODM589850 NTQ589850 NJU589850 MZY589850 MQC589850 MGG589850 LWK589850 LMO589850 LCS589850 KSW589850 KJA589850 JZE589850 JPI589850 JFM589850 IVQ589850 ILU589850 IBY589850 HSC589850 HIG589850 GYK589850 GOO589850 GES589850 FUW589850 FLA589850 FBE589850 ERI589850 EHM589850 DXQ589850 DNU589850 DDY589850 CUC589850 CKG589850 CAK589850 BQO589850 BGS589850 AWW589850 ANA589850 ADE589850 TI589850 JM589850 Q589850 WVY524314 WMC524314 WCG524314 VSK524314 VIO524314 UYS524314 UOW524314 UFA524314 TVE524314 TLI524314 TBM524314 SRQ524314 SHU524314 RXY524314 ROC524314 REG524314 QUK524314 QKO524314 QAS524314 PQW524314 PHA524314 OXE524314 ONI524314 ODM524314 NTQ524314 NJU524314 MZY524314 MQC524314 MGG524314 LWK524314 LMO524314 LCS524314 KSW524314 KJA524314 JZE524314 JPI524314 JFM524314 IVQ524314 ILU524314 IBY524314 HSC524314 HIG524314 GYK524314 GOO524314 GES524314 FUW524314 FLA524314 FBE524314 ERI524314 EHM524314 DXQ524314 DNU524314 DDY524314 CUC524314 CKG524314 CAK524314 BQO524314 BGS524314 AWW524314 ANA524314 ADE524314 TI524314 JM524314 Q524314 WVY458778 WMC458778 WCG458778 VSK458778 VIO458778 UYS458778 UOW458778 UFA458778 TVE458778 TLI458778 TBM458778 SRQ458778 SHU458778 RXY458778 ROC458778 REG458778 QUK458778 QKO458778 QAS458778 PQW458778 PHA458778 OXE458778 ONI458778 ODM458778 NTQ458778 NJU458778 MZY458778 MQC458778 MGG458778 LWK458778 LMO458778 LCS458778 KSW458778 KJA458778 JZE458778 JPI458778 JFM458778 IVQ458778 ILU458778 IBY458778 HSC458778 HIG458778 GYK458778 GOO458778 GES458778 FUW458778 FLA458778 FBE458778 ERI458778 EHM458778 DXQ458778 DNU458778 DDY458778 CUC458778 CKG458778 CAK458778 BQO458778 BGS458778 AWW458778 ANA458778 ADE458778 TI458778 JM458778 Q458778 WVY393242 WMC393242 WCG393242 VSK393242 VIO393242 UYS393242 UOW393242 UFA393242 TVE393242 TLI393242 TBM393242 SRQ393242 SHU393242 RXY393242 ROC393242 REG393242 QUK393242 QKO393242 QAS393242 PQW393242 PHA393242 OXE393242 ONI393242 ODM393242 NTQ393242 NJU393242 MZY393242 MQC393242 MGG393242 LWK393242 LMO393242 LCS393242 KSW393242 KJA393242 JZE393242 JPI393242 JFM393242 IVQ393242 ILU393242 IBY393242 HSC393242 HIG393242 GYK393242 GOO393242 GES393242 FUW393242 FLA393242 FBE393242 ERI393242 EHM393242 DXQ393242 DNU393242 DDY393242 CUC393242 CKG393242 CAK393242 BQO393242 BGS393242 AWW393242 ANA393242 ADE393242 TI393242 JM393242 Q393242 WVY327706 WMC327706 WCG327706 VSK327706 VIO327706 UYS327706 UOW327706 UFA327706 TVE327706 TLI327706 TBM327706 SRQ327706 SHU327706 RXY327706 ROC327706 REG327706 QUK327706 QKO327706 QAS327706 PQW327706 PHA327706 OXE327706 ONI327706 ODM327706 NTQ327706 NJU327706 MZY327706 MQC327706 MGG327706 LWK327706 LMO327706 LCS327706 KSW327706 KJA327706 JZE327706 JPI327706 JFM327706 IVQ327706 ILU327706 IBY327706 HSC327706 HIG327706 GYK327706 GOO327706 GES327706 FUW327706 FLA327706 FBE327706 ERI327706 EHM327706 DXQ327706 DNU327706 DDY327706 CUC327706 CKG327706 CAK327706 BQO327706 BGS327706 AWW327706 ANA327706 ADE327706 TI327706 JM327706 Q327706 WVY262170 WMC262170 WCG262170 VSK262170 VIO262170 UYS262170 UOW262170 UFA262170 TVE262170 TLI262170 TBM262170 SRQ262170 SHU262170 RXY262170 ROC262170 REG262170 QUK262170 QKO262170 QAS262170 PQW262170 PHA262170 OXE262170 ONI262170 ODM262170 NTQ262170 NJU262170 MZY262170 MQC262170 MGG262170 LWK262170 LMO262170 LCS262170 KSW262170 KJA262170 JZE262170 JPI262170 JFM262170 IVQ262170 ILU262170 IBY262170 HSC262170 HIG262170 GYK262170 GOO262170 GES262170 FUW262170 FLA262170 FBE262170 ERI262170 EHM262170 DXQ262170 DNU262170 DDY262170 CUC262170 CKG262170 CAK262170 BQO262170 BGS262170 AWW262170 ANA262170 ADE262170 TI262170 JM262170 Q262170 WVY196634 WMC196634 WCG196634 VSK196634 VIO196634 UYS196634 UOW196634 UFA196634 TVE196634 TLI196634 TBM196634 SRQ196634 SHU196634 RXY196634 ROC196634 REG196634 QUK196634 QKO196634 QAS196634 PQW196634 PHA196634 OXE196634 ONI196634 ODM196634 NTQ196634 NJU196634 MZY196634 MQC196634 MGG196634 LWK196634 LMO196634 LCS196634 KSW196634 KJA196634 JZE196634 JPI196634 JFM196634 IVQ196634 ILU196634 IBY196634 HSC196634 HIG196634 GYK196634 GOO196634 GES196634 FUW196634 FLA196634 FBE196634 ERI196634 EHM196634 DXQ196634 DNU196634 DDY196634 CUC196634 CKG196634 CAK196634 BQO196634 BGS196634 AWW196634 ANA196634 ADE196634 TI196634 JM196634 Q196634 WVY131098 WMC131098 WCG131098 VSK131098 VIO131098 UYS131098 UOW131098 UFA131098 TVE131098 TLI131098 TBM131098 SRQ131098 SHU131098 RXY131098 ROC131098 REG131098 QUK131098 QKO131098 QAS131098 PQW131098 PHA131098 OXE131098 ONI131098 ODM131098 NTQ131098 NJU131098 MZY131098 MQC131098 MGG131098 LWK131098 LMO131098 LCS131098 KSW131098 KJA131098 JZE131098 JPI131098 JFM131098 IVQ131098 ILU131098 IBY131098 HSC131098 HIG131098 GYK131098 GOO131098 GES131098 FUW131098 FLA131098 FBE131098 ERI131098 EHM131098 DXQ131098 DNU131098 DDY131098 CUC131098 CKG131098 CAK131098 BQO131098 BGS131098 AWW131098 ANA131098 ADE131098 TI131098 JM131098 Q131098 WVY65562 WMC65562 WCG65562 VSK65562 VIO65562 UYS65562 UOW65562 UFA65562 TVE65562 TLI65562 TBM65562 SRQ65562 SHU65562 RXY65562 ROC65562 REG65562 QUK65562 QKO65562 QAS65562 PQW65562 PHA65562 OXE65562 ONI65562 ODM65562 NTQ65562 NJU65562 MZY65562 MQC65562 MGG65562 LWK65562 LMO65562 LCS65562 KSW65562 KJA65562 JZE65562 JPI65562 JFM65562 IVQ65562 ILU65562 IBY65562 HSC65562 HIG65562 GYK65562 GOO65562 GES65562 FUW65562 FLA65562 FBE65562 ERI65562 EHM65562 DXQ65562 DNU65562 DDY65562 CUC65562 CKG65562 CAK65562 BQO65562 BGS65562 AWW65562 ANA65562 ADE65562 TI65562 JM65562 Q65562 WVY26 WMC26 WCG26 VSK26 VIO26 UYS26 UOW26 UFA26 TVE26 TLI26 TBM26 SRQ26 SHU26 RXY26 ROC26 REG26 QUK26 QKO26 QAS26 PQW26 PHA26 OXE26 ONI26 ODM26 NTQ26 NJU26 MZY26 MQC26 MGG26 LWK26 LMO26 LCS26 KSW26 KJA26 JZE26 JPI26 JFM26 IVQ26 ILU26 IBY26 HSC26 HIG26 GYK26 GOO26 GES26 FUW26 FLA26 FBE26 ERI26 EHM26 DXQ26 DNU26 DDY26 CUC26 CKG26 CAK26 BQO26 BGS26 AWW26 ANA26 ADE26 TI26 JM26 Q26 WVV983068 WLZ983068 WCD983068 VSH983068 VIL983068 UYP983068 UOT983068 UEX983068 TVB983068 TLF983068 TBJ983068 SRN983068 SHR983068 RXV983068 RNZ983068 RED983068 QUH983068 QKL983068 QAP983068 PQT983068 PGX983068 OXB983068 ONF983068 ODJ983068 NTN983068 NJR983068 MZV983068 MPZ983068 MGD983068 LWH983068 LML983068 LCP983068 KST983068 KIX983068 JZB983068 JPF983068 JFJ983068 IVN983068 ILR983068 IBV983068 HRZ983068 HID983068 GYH983068 GOL983068 GEP983068 FUT983068 FKX983068 FBB983068 ERF983068 EHJ983068 DXN983068 DNR983068 DDV983068 CTZ983068 CKD983068 CAH983068 BQL983068 BGP983068 AWT983068 AMX983068 ADB983068 TF983068 JJ983068 N983068 WVV917532 WLZ917532 WCD917532 VSH917532 VIL917532 UYP917532 UOT917532 UEX917532 TVB917532 TLF917532 TBJ917532 SRN917532 SHR917532 RXV917532 RNZ917532 RED917532 QUH917532 QKL917532 QAP917532 PQT917532 PGX917532 OXB917532 ONF917532 ODJ917532 NTN917532 NJR917532 MZV917532 MPZ917532 MGD917532 LWH917532 LML917532 LCP917532 KST917532 KIX917532 JZB917532 JPF917532 JFJ917532 IVN917532 ILR917532 IBV917532 HRZ917532 HID917532 GYH917532 GOL917532 GEP917532 FUT917532 FKX917532 FBB917532 ERF917532 EHJ917532 DXN917532 DNR917532 DDV917532 CTZ917532 CKD917532 CAH917532 BQL917532 BGP917532 AWT917532 AMX917532 ADB917532 TF917532 JJ917532 N917532 WVV851996 WLZ851996 WCD851996 VSH851996 VIL851996 UYP851996 UOT851996 UEX851996 TVB851996 TLF851996 TBJ851996 SRN851996 SHR851996 RXV851996 RNZ851996 RED851996 QUH851996 QKL851996 QAP851996 PQT851996 PGX851996 OXB851996 ONF851996 ODJ851996 NTN851996 NJR851996 MZV851996 MPZ851996 MGD851996 LWH851996 LML851996 LCP851996 KST851996 KIX851996 JZB851996 JPF851996 JFJ851996 IVN851996 ILR851996 IBV851996 HRZ851996 HID851996 GYH851996 GOL851996 GEP851996 FUT851996 FKX851996 FBB851996 ERF851996 EHJ851996 DXN851996 DNR851996 DDV851996 CTZ851996 CKD851996 CAH851996 BQL851996 BGP851996 AWT851996 AMX851996 ADB851996 TF851996 JJ851996 N851996 WVV786460 WLZ786460 WCD786460 VSH786460 VIL786460 UYP786460 UOT786460 UEX786460 TVB786460 TLF786460 TBJ786460 SRN786460 SHR786460 RXV786460 RNZ786460 RED786460 QUH786460 QKL786460 QAP786460 PQT786460 PGX786460 OXB786460 ONF786460 ODJ786460 NTN786460 NJR786460 MZV786460 MPZ786460 MGD786460 LWH786460 LML786460 LCP786460 KST786460 KIX786460 JZB786460 JPF786460 JFJ786460 IVN786460 ILR786460 IBV786460 HRZ786460 HID786460 GYH786460 GOL786460 GEP786460 FUT786460 FKX786460 FBB786460 ERF786460 EHJ786460 DXN786460 DNR786460 DDV786460 CTZ786460 CKD786460 CAH786460 BQL786460 BGP786460 AWT786460 AMX786460 ADB786460 TF786460 JJ786460 N786460 WVV720924 WLZ720924 WCD720924 VSH720924 VIL720924 UYP720924 UOT720924 UEX720924 TVB720924 TLF720924 TBJ720924 SRN720924 SHR720924 RXV720924 RNZ720924 RED720924 QUH720924 QKL720924 QAP720924 PQT720924 PGX720924 OXB720924 ONF720924 ODJ720924 NTN720924 NJR720924 MZV720924 MPZ720924 MGD720924 LWH720924 LML720924 LCP720924 KST720924 KIX720924 JZB720924 JPF720924 JFJ720924 IVN720924 ILR720924 IBV720924 HRZ720924 HID720924 GYH720924 GOL720924 GEP720924 FUT720924 FKX720924 FBB720924 ERF720924 EHJ720924 DXN720924 DNR720924 DDV720924 CTZ720924 CKD720924 CAH720924 BQL720924 BGP720924 AWT720924 AMX720924 ADB720924 TF720924 JJ720924 N720924 WVV655388 WLZ655388 WCD655388 VSH655388 VIL655388 UYP655388 UOT655388 UEX655388 TVB655388 TLF655388 TBJ655388 SRN655388 SHR655388 RXV655388 RNZ655388 RED655388 QUH655388 QKL655388 QAP655388 PQT655388 PGX655388 OXB655388 ONF655388 ODJ655388 NTN655388 NJR655388 MZV655388 MPZ655388 MGD655388 LWH655388 LML655388 LCP655388 KST655388 KIX655388 JZB655388 JPF655388 JFJ655388 IVN655388 ILR655388 IBV655388 HRZ655388 HID655388 GYH655388 GOL655388 GEP655388 FUT655388 FKX655388 FBB655388 ERF655388 EHJ655388 DXN655388 DNR655388 DDV655388 CTZ655388 CKD655388 CAH655388 BQL655388 BGP655388 AWT655388 AMX655388 ADB655388 TF655388 JJ655388 N655388 WVV589852 WLZ589852 WCD589852 VSH589852 VIL589852 UYP589852 UOT589852 UEX589852 TVB589852 TLF589852 TBJ589852 SRN589852 SHR589852 RXV589852 RNZ589852 RED589852 QUH589852 QKL589852 QAP589852 PQT589852 PGX589852 OXB589852 ONF589852 ODJ589852 NTN589852 NJR589852 MZV589852 MPZ589852 MGD589852 LWH589852 LML589852 LCP589852 KST589852 KIX589852 JZB589852 JPF589852 JFJ589852 IVN589852 ILR589852 IBV589852 HRZ589852 HID589852 GYH589852 GOL589852 GEP589852 FUT589852 FKX589852 FBB589852 ERF589852 EHJ589852 DXN589852 DNR589852 DDV589852 CTZ589852 CKD589852 CAH589852 BQL589852 BGP589852 AWT589852 AMX589852 ADB589852 TF589852 JJ589852 N589852 WVV524316 WLZ524316 WCD524316 VSH524316 VIL524316 UYP524316 UOT524316 UEX524316 TVB524316 TLF524316 TBJ524316 SRN524316 SHR524316 RXV524316 RNZ524316 RED524316 QUH524316 QKL524316 QAP524316 PQT524316 PGX524316 OXB524316 ONF524316 ODJ524316 NTN524316 NJR524316 MZV524316 MPZ524316 MGD524316 LWH524316 LML524316 LCP524316 KST524316 KIX524316 JZB524316 JPF524316 JFJ524316 IVN524316 ILR524316 IBV524316 HRZ524316 HID524316 GYH524316 GOL524316 GEP524316 FUT524316 FKX524316 FBB524316 ERF524316 EHJ524316 DXN524316 DNR524316 DDV524316 CTZ524316 CKD524316 CAH524316 BQL524316 BGP524316 AWT524316 AMX524316 ADB524316 TF524316 JJ524316 N524316 WVV458780 WLZ458780 WCD458780 VSH458780 VIL458780 UYP458780 UOT458780 UEX458780 TVB458780 TLF458780 TBJ458780 SRN458780 SHR458780 RXV458780 RNZ458780 RED458780 QUH458780 QKL458780 QAP458780 PQT458780 PGX458780 OXB458780 ONF458780 ODJ458780 NTN458780 NJR458780 MZV458780 MPZ458780 MGD458780 LWH458780 LML458780 LCP458780 KST458780 KIX458780 JZB458780 JPF458780 JFJ458780 IVN458780 ILR458780 IBV458780 HRZ458780 HID458780 GYH458780 GOL458780 GEP458780 FUT458780 FKX458780 FBB458780 ERF458780 EHJ458780 DXN458780 DNR458780 DDV458780 CTZ458780 CKD458780 CAH458780 BQL458780 BGP458780 AWT458780 AMX458780 ADB458780 TF458780 JJ458780 N458780 WVV393244 WLZ393244 WCD393244 VSH393244 VIL393244 UYP393244 UOT393244 UEX393244 TVB393244 TLF393244 TBJ393244 SRN393244 SHR393244 RXV393244 RNZ393244 RED393244 QUH393244 QKL393244 QAP393244 PQT393244 PGX393244 OXB393244 ONF393244 ODJ393244 NTN393244 NJR393244 MZV393244 MPZ393244 MGD393244 LWH393244 LML393244 LCP393244 KST393244 KIX393244 JZB393244 JPF393244 JFJ393244 IVN393244 ILR393244 IBV393244 HRZ393244 HID393244 GYH393244 GOL393244 GEP393244 FUT393244 FKX393244 FBB393244 ERF393244 EHJ393244 DXN393244 DNR393244 DDV393244 CTZ393244 CKD393244 CAH393244 BQL393244 BGP393244 AWT393244 AMX393244 ADB393244 TF393244 JJ393244 N393244 WVV327708 WLZ327708 WCD327708 VSH327708 VIL327708 UYP327708 UOT327708 UEX327708 TVB327708 TLF327708 TBJ327708 SRN327708 SHR327708 RXV327708 RNZ327708 RED327708 QUH327708 QKL327708 QAP327708 PQT327708 PGX327708 OXB327708 ONF327708 ODJ327708 NTN327708 NJR327708 MZV327708 MPZ327708 MGD327708 LWH327708 LML327708 LCP327708 KST327708 KIX327708 JZB327708 JPF327708 JFJ327708 IVN327708 ILR327708 IBV327708 HRZ327708 HID327708 GYH327708 GOL327708 GEP327708 FUT327708 FKX327708 FBB327708 ERF327708 EHJ327708 DXN327708 DNR327708 DDV327708 CTZ327708 CKD327708 CAH327708 BQL327708 BGP327708 AWT327708 AMX327708 ADB327708 TF327708 JJ327708 N327708 WVV262172 WLZ262172 WCD262172 VSH262172 VIL262172 UYP262172 UOT262172 UEX262172 TVB262172 TLF262172 TBJ262172 SRN262172 SHR262172 RXV262172 RNZ262172 RED262172 QUH262172 QKL262172 QAP262172 PQT262172 PGX262172 OXB262172 ONF262172 ODJ262172 NTN262172 NJR262172 MZV262172 MPZ262172 MGD262172 LWH262172 LML262172 LCP262172 KST262172 KIX262172 JZB262172 JPF262172 JFJ262172 IVN262172 ILR262172 IBV262172 HRZ262172 HID262172 GYH262172 GOL262172 GEP262172 FUT262172 FKX262172 FBB262172 ERF262172 EHJ262172 DXN262172 DNR262172 DDV262172 CTZ262172 CKD262172 CAH262172 BQL262172 BGP262172 AWT262172 AMX262172 ADB262172 TF262172 JJ262172 N262172 WVV196636 WLZ196636 WCD196636 VSH196636 VIL196636 UYP196636 UOT196636 UEX196636 TVB196636 TLF196636 TBJ196636 SRN196636 SHR196636 RXV196636 RNZ196636 RED196636 QUH196636 QKL196636 QAP196636 PQT196636 PGX196636 OXB196636 ONF196636 ODJ196636 NTN196636 NJR196636 MZV196636 MPZ196636 MGD196636 LWH196636 LML196636 LCP196636 KST196636 KIX196636 JZB196636 JPF196636 JFJ196636 IVN196636 ILR196636 IBV196636 HRZ196636 HID196636 GYH196636 GOL196636 GEP196636 FUT196636 FKX196636 FBB196636 ERF196636 EHJ196636 DXN196636 DNR196636 DDV196636 CTZ196636 CKD196636 CAH196636 BQL196636 BGP196636 AWT196636 AMX196636 ADB196636 TF196636 JJ196636 N196636 WVV131100 WLZ131100 WCD131100 VSH131100 VIL131100 UYP131100 UOT131100 UEX131100 TVB131100 TLF131100 TBJ131100 SRN131100 SHR131100 RXV131100 RNZ131100 RED131100 QUH131100 QKL131100 QAP131100 PQT131100 PGX131100 OXB131100 ONF131100 ODJ131100 NTN131100 NJR131100 MZV131100 MPZ131100 MGD131100 LWH131100 LML131100 LCP131100 KST131100 KIX131100 JZB131100 JPF131100 JFJ131100 IVN131100 ILR131100 IBV131100 HRZ131100 HID131100 GYH131100 GOL131100 GEP131100 FUT131100 FKX131100 FBB131100 ERF131100 EHJ131100 DXN131100 DNR131100 DDV131100 CTZ131100 CKD131100 CAH131100 BQL131100 BGP131100 AWT131100 AMX131100 ADB131100 TF131100 JJ131100 N131100 WVV65564 WLZ65564 WCD65564 VSH65564 VIL65564 UYP65564 UOT65564 UEX65564 TVB65564 TLF65564 TBJ65564 SRN65564 SHR65564 RXV65564 RNZ65564 RED65564 QUH65564 QKL65564 QAP65564 PQT65564 PGX65564 OXB65564 ONF65564 ODJ65564 NTN65564 NJR65564 MZV65564 MPZ65564 MGD65564 LWH65564 LML65564 LCP65564 KST65564 KIX65564 JZB65564 JPF65564 JFJ65564 IVN65564 ILR65564 IBV65564 HRZ65564 HID65564 GYH65564 GOL65564 GEP65564 FUT65564 FKX65564 FBB65564 ERF65564 EHJ65564 DXN65564 DNR65564 DDV65564 CTZ65564 CKD65564 CAH65564 BQL65564 BGP65564 AWT65564 AMX65564 ADB65564 TF65564 JJ65564 N65564 WVV28 WLZ28 WCD28 VSH28 VIL28 UYP28 UOT28 UEX28 TVB28 TLF28 TBJ28 SRN28 SHR28 RXV28 RNZ28 RED28 QUH28 QKL28 QAP28 PQT28 PGX28 OXB28 ONF28 ODJ28 NTN28 NJR28 MZV28 MPZ28 MGD28 LWH28 LML28 LCP28 KST28 KIX28 JZB28 JPF28 JFJ28 IVN28 ILR28 IBV28 HRZ28 HID28 GYH28 GOL28 GEP28 FUT28 FKX28 FBB28 ERF28 EHJ28 DXN28 DNR28 DDV28 CTZ28 CKD28 CAH28 BQL28 BGP28 AWT28 AMX28 ADB28 TF28 JJ28 N28 WVY983068 WMC983068 WCG983068 VSK983068 VIO983068 UYS983068 UOW983068 UFA983068 TVE983068 TLI983068 TBM983068 SRQ983068 SHU983068 RXY983068 ROC983068 REG983068 QUK983068 QKO983068 QAS983068 PQW983068 PHA983068 OXE983068 ONI983068 ODM983068 NTQ983068 NJU983068 MZY983068 MQC983068 MGG983068 LWK983068 LMO983068 LCS983068 KSW983068 KJA983068 JZE983068 JPI983068 JFM983068 IVQ983068 ILU983068 IBY983068 HSC983068 HIG983068 GYK983068 GOO983068 GES983068 FUW983068 FLA983068 FBE983068 ERI983068 EHM983068 DXQ983068 DNU983068 DDY983068 CUC983068 CKG983068 CAK983068 BQO983068 BGS983068 AWW983068 ANA983068 ADE983068 TI983068 JM983068 Q983068 WVY917532 WMC917532 WCG917532 VSK917532 VIO917532 UYS917532 UOW917532 UFA917532 TVE917532 TLI917532 TBM917532 SRQ917532 SHU917532 RXY917532 ROC917532 REG917532 QUK917532 QKO917532 QAS917532 PQW917532 PHA917532 OXE917532 ONI917532 ODM917532 NTQ917532 NJU917532 MZY917532 MQC917532 MGG917532 LWK917532 LMO917532 LCS917532 KSW917532 KJA917532 JZE917532 JPI917532 JFM917532 IVQ917532 ILU917532 IBY917532 HSC917532 HIG917532 GYK917532 GOO917532 GES917532 FUW917532 FLA917532 FBE917532 ERI917532 EHM917532 DXQ917532 DNU917532 DDY917532 CUC917532 CKG917532 CAK917532 BQO917532 BGS917532 AWW917532 ANA917532 ADE917532 TI917532 JM917532 Q917532 WVY851996 WMC851996 WCG851996 VSK851996 VIO851996 UYS851996 UOW851996 UFA851996 TVE851996 TLI851996 TBM851996 SRQ851996 SHU851996 RXY851996 ROC851996 REG851996 QUK851996 QKO851996 QAS851996 PQW851996 PHA851996 OXE851996 ONI851996 ODM851996 NTQ851996 NJU851996 MZY851996 MQC851996 MGG851996 LWK851996 LMO851996 LCS851996 KSW851996 KJA851996 JZE851996 JPI851996 JFM851996 IVQ851996 ILU851996 IBY851996 HSC851996 HIG851996 GYK851996 GOO851996 GES851996 FUW851996 FLA851996 FBE851996 ERI851996 EHM851996 DXQ851996 DNU851996 DDY851996 CUC851996 CKG851996 CAK851996 BQO851996 BGS851996 AWW851996 ANA851996 ADE851996 TI851996 JM851996 Q851996 WVY786460 WMC786460 WCG786460 VSK786460 VIO786460 UYS786460 UOW786460 UFA786460 TVE786460 TLI786460 TBM786460 SRQ786460 SHU786460 RXY786460 ROC786460 REG786460 QUK786460 QKO786460 QAS786460 PQW786460 PHA786460 OXE786460 ONI786460 ODM786460 NTQ786460 NJU786460 MZY786460 MQC786460 MGG786460 LWK786460 LMO786460 LCS786460 KSW786460 KJA786460 JZE786460 JPI786460 JFM786460 IVQ786460 ILU786460 IBY786460 HSC786460 HIG786460 GYK786460 GOO786460 GES786460 FUW786460 FLA786460 FBE786460 ERI786460 EHM786460 DXQ786460 DNU786460 DDY786460 CUC786460 CKG786460 CAK786460 BQO786460 BGS786460 AWW786460 ANA786460 ADE786460 TI786460 JM786460 Q786460 WVY720924 WMC720924 WCG720924 VSK720924 VIO720924 UYS720924 UOW720924 UFA720924 TVE720924 TLI720924 TBM720924 SRQ720924 SHU720924 RXY720924 ROC720924 REG720924 QUK720924 QKO720924 QAS720924 PQW720924 PHA720924 OXE720924 ONI720924 ODM720924 NTQ720924 NJU720924 MZY720924 MQC720924 MGG720924 LWK720924 LMO720924 LCS720924 KSW720924 KJA720924 JZE720924 JPI720924 JFM720924 IVQ720924 ILU720924 IBY720924 HSC720924 HIG720924 GYK720924 GOO720924 GES720924 FUW720924 FLA720924 FBE720924 ERI720924 EHM720924 DXQ720924 DNU720924 DDY720924 CUC720924 CKG720924 CAK720924 BQO720924 BGS720924 AWW720924 ANA720924 ADE720924 TI720924 JM720924 Q720924 WVY655388 WMC655388 WCG655388 VSK655388 VIO655388 UYS655388 UOW655388 UFA655388 TVE655388 TLI655388 TBM655388 SRQ655388 SHU655388 RXY655388 ROC655388 REG655388 QUK655388 QKO655388 QAS655388 PQW655388 PHA655388 OXE655388 ONI655388 ODM655388 NTQ655388 NJU655388 MZY655388 MQC655388 MGG655388 LWK655388 LMO655388 LCS655388 KSW655388 KJA655388 JZE655388 JPI655388 JFM655388 IVQ655388 ILU655388 IBY655388 HSC655388 HIG655388 GYK655388 GOO655388 GES655388 FUW655388 FLA655388 FBE655388 ERI655388 EHM655388 DXQ655388 DNU655388 DDY655388 CUC655388 CKG655388 CAK655388 BQO655388 BGS655388 AWW655388 ANA655388 ADE655388 TI655388 JM655388 Q655388 WVY589852 WMC589852 WCG589852 VSK589852 VIO589852 UYS589852 UOW589852 UFA589852 TVE589852 TLI589852 TBM589852 SRQ589852 SHU589852 RXY589852 ROC589852 REG589852 QUK589852 QKO589852 QAS589852 PQW589852 PHA589852 OXE589852 ONI589852 ODM589852 NTQ589852 NJU589852 MZY589852 MQC589852 MGG589852 LWK589852 LMO589852 LCS589852 KSW589852 KJA589852 JZE589852 JPI589852 JFM589852 IVQ589852 ILU589852 IBY589852 HSC589852 HIG589852 GYK589852 GOO589852 GES589852 FUW589852 FLA589852 FBE589852 ERI589852 EHM589852 DXQ589852 DNU589852 DDY589852 CUC589852 CKG589852 CAK589852 BQO589852 BGS589852 AWW589852 ANA589852 ADE589852 TI589852 JM589852 Q589852 WVY524316 WMC524316 WCG524316 VSK524316 VIO524316 UYS524316 UOW524316 UFA524316 TVE524316 TLI524316 TBM524316 SRQ524316 SHU524316 RXY524316 ROC524316 REG524316 QUK524316 QKO524316 QAS524316 PQW524316 PHA524316 OXE524316 ONI524316 ODM524316 NTQ524316 NJU524316 MZY524316 MQC524316 MGG524316 LWK524316 LMO524316 LCS524316 KSW524316 KJA524316 JZE524316 JPI524316 JFM524316 IVQ524316 ILU524316 IBY524316 HSC524316 HIG524316 GYK524316 GOO524316 GES524316 FUW524316 FLA524316 FBE524316 ERI524316 EHM524316 DXQ524316 DNU524316 DDY524316 CUC524316 CKG524316 CAK524316 BQO524316 BGS524316 AWW524316 ANA524316 ADE524316 TI524316 JM524316 Q524316 WVY458780 WMC458780 WCG458780 VSK458780 VIO458780 UYS458780 UOW458780 UFA458780 TVE458780 TLI458780 TBM458780 SRQ458780 SHU458780 RXY458780 ROC458780 REG458780 QUK458780 QKO458780 QAS458780 PQW458780 PHA458780 OXE458780 ONI458780 ODM458780 NTQ458780 NJU458780 MZY458780 MQC458780 MGG458780 LWK458780 LMO458780 LCS458780 KSW458780 KJA458780 JZE458780 JPI458780 JFM458780 IVQ458780 ILU458780 IBY458780 HSC458780 HIG458780 GYK458780 GOO458780 GES458780 FUW458780 FLA458780 FBE458780 ERI458780 EHM458780 DXQ458780 DNU458780 DDY458780 CUC458780 CKG458780 CAK458780 BQO458780 BGS458780 AWW458780 ANA458780 ADE458780 TI458780 JM458780 Q458780 WVY393244 WMC393244 WCG393244 VSK393244 VIO393244 UYS393244 UOW393244 UFA393244 TVE393244 TLI393244 TBM393244 SRQ393244 SHU393244 RXY393244 ROC393244 REG393244 QUK393244 QKO393244 QAS393244 PQW393244 PHA393244 OXE393244 ONI393244 ODM393244 NTQ393244 NJU393244 MZY393244 MQC393244 MGG393244 LWK393244 LMO393244 LCS393244 KSW393244 KJA393244 JZE393244 JPI393244 JFM393244 IVQ393244 ILU393244 IBY393244 HSC393244 HIG393244 GYK393244 GOO393244 GES393244 FUW393244 FLA393244 FBE393244 ERI393244 EHM393244 DXQ393244 DNU393244 DDY393244 CUC393244 CKG393244 CAK393244 BQO393244 BGS393244 AWW393244 ANA393244 ADE393244 TI393244 JM393244 Q393244 WVY327708 WMC327708 WCG327708 VSK327708 VIO327708 UYS327708 UOW327708 UFA327708 TVE327708 TLI327708 TBM327708 SRQ327708 SHU327708 RXY327708 ROC327708 REG327708 QUK327708 QKO327708 QAS327708 PQW327708 PHA327708 OXE327708 ONI327708 ODM327708 NTQ327708 NJU327708 MZY327708 MQC327708 MGG327708 LWK327708 LMO327708 LCS327708 KSW327708 KJA327708 JZE327708 JPI327708 JFM327708 IVQ327708 ILU327708 IBY327708 HSC327708 HIG327708 GYK327708 GOO327708 GES327708 FUW327708 FLA327708 FBE327708 ERI327708 EHM327708 DXQ327708 DNU327708 DDY327708 CUC327708 CKG327708 CAK327708 BQO327708 BGS327708 AWW327708 ANA327708 ADE327708 TI327708 JM327708 Q327708 WVY262172 WMC262172 WCG262172 VSK262172 VIO262172 UYS262172 UOW262172 UFA262172 TVE262172 TLI262172 TBM262172 SRQ262172 SHU262172 RXY262172 ROC262172 REG262172 QUK262172 QKO262172 QAS262172 PQW262172 PHA262172 OXE262172 ONI262172 ODM262172 NTQ262172 NJU262172 MZY262172 MQC262172 MGG262172 LWK262172 LMO262172 LCS262172 KSW262172 KJA262172 JZE262172 JPI262172 JFM262172 IVQ262172 ILU262172 IBY262172 HSC262172 HIG262172 GYK262172 GOO262172 GES262172 FUW262172 FLA262172 FBE262172 ERI262172 EHM262172 DXQ262172 DNU262172 DDY262172 CUC262172 CKG262172 CAK262172 BQO262172 BGS262172 AWW262172 ANA262172 ADE262172 TI262172 JM262172 Q262172 WVY196636 WMC196636 WCG196636 VSK196636 VIO196636 UYS196636 UOW196636 UFA196636 TVE196636 TLI196636 TBM196636 SRQ196636 SHU196636 RXY196636 ROC196636 REG196636 QUK196636 QKO196636 QAS196636 PQW196636 PHA196636 OXE196636 ONI196636 ODM196636 NTQ196636 NJU196636 MZY196636 MQC196636 MGG196636 LWK196636 LMO196636 LCS196636 KSW196636 KJA196636 JZE196636 JPI196636 JFM196636 IVQ196636 ILU196636 IBY196636 HSC196636 HIG196636 GYK196636 GOO196636 GES196636 FUW196636 FLA196636 FBE196636 ERI196636 EHM196636 DXQ196636 DNU196636 DDY196636 CUC196636 CKG196636 CAK196636 BQO196636 BGS196636 AWW196636 ANA196636 ADE196636 TI196636 JM196636 Q196636 WVY131100 WMC131100 WCG131100 VSK131100 VIO131100 UYS131100 UOW131100 UFA131100 TVE131100 TLI131100 TBM131100 SRQ131100 SHU131100 RXY131100 ROC131100 REG131100 QUK131100 QKO131100 QAS131100 PQW131100 PHA131100 OXE131100 ONI131100 ODM131100 NTQ131100 NJU131100 MZY131100 MQC131100 MGG131100 LWK131100 LMO131100 LCS131100 KSW131100 KJA131100 JZE131100 JPI131100 JFM131100 IVQ131100 ILU131100 IBY131100 HSC131100 HIG131100 GYK131100 GOO131100 GES131100 FUW131100 FLA131100 FBE131100 ERI131100 EHM131100 DXQ131100 DNU131100 DDY131100 CUC131100 CKG131100 CAK131100 BQO131100 BGS131100 AWW131100 ANA131100 ADE131100 TI131100 JM131100 Q131100 WVY65564 WMC65564 WCG65564 VSK65564 VIO65564 UYS65564 UOW65564 UFA65564 TVE65564 TLI65564 TBM65564 SRQ65564 SHU65564 RXY65564 ROC65564 REG65564 QUK65564 QKO65564 QAS65564 PQW65564 PHA65564 OXE65564 ONI65564 ODM65564 NTQ65564 NJU65564 MZY65564 MQC65564 MGG65564 LWK65564 LMO65564 LCS65564 KSW65564 KJA65564 JZE65564 JPI65564 JFM65564 IVQ65564 ILU65564 IBY65564 HSC65564 HIG65564 GYK65564 GOO65564 GES65564 FUW65564 FLA65564 FBE65564 ERI65564 EHM65564 DXQ65564 DNU65564 DDY65564 CUC65564 CKG65564 CAK65564 BQO65564 BGS65564 AWW65564 ANA65564 ADE65564 TI65564 JM65564 Q65564 WVY28 WMC28 WCG28 VSK28 VIO28 UYS28 UOW28 UFA28 TVE28 TLI28 TBM28 SRQ28 SHU28 RXY28 ROC28 REG28 QUK28 QKO28 QAS28 PQW28 PHA28 OXE28 ONI28 ODM28 NTQ28 NJU28 MZY28 MQC28 MGG28 LWK28 LMO28 LCS28 KSW28 KJA28 JZE28 JPI28 JFM28 IVQ28 ILU28 IBY28 HSC28 HIG28 GYK28 GOO28 GES28 FUW28 FLA28 FBE28 ERI28 EHM28 DXQ28 DNU28 DDY28 CUC28 CKG28 CAK28 BQO28 BGS28 AWW28 ANA28 ADE28 TI28 JM28 Q28 WVY983070 WMC983070 WCG983070 VSK983070 VIO983070 UYS983070 UOW983070 UFA983070 TVE983070 TLI983070 TBM983070 SRQ983070 SHU983070 RXY983070 ROC983070 REG983070 QUK983070 QKO983070 QAS983070 PQW983070 PHA983070 OXE983070 ONI983070 ODM983070 NTQ983070 NJU983070 MZY983070 MQC983070 MGG983070 LWK983070 LMO983070 LCS983070 KSW983070 KJA983070 JZE983070 JPI983070 JFM983070 IVQ983070 ILU983070 IBY983070 HSC983070 HIG983070 GYK983070 GOO983070 GES983070 FUW983070 FLA983070 FBE983070 ERI983070 EHM983070 DXQ983070 DNU983070 DDY983070 CUC983070 CKG983070 CAK983070 BQO983070 BGS983070 AWW983070 ANA983070 ADE983070 TI983070 JM983070 Q983070 WVY917534 WMC917534 WCG917534 VSK917534 VIO917534 UYS917534 UOW917534 UFA917534 TVE917534 TLI917534 TBM917534 SRQ917534 SHU917534 RXY917534 ROC917534 REG917534 QUK917534 QKO917534 QAS917534 PQW917534 PHA917534 OXE917534 ONI917534 ODM917534 NTQ917534 NJU917534 MZY917534 MQC917534 MGG917534 LWK917534 LMO917534 LCS917534 KSW917534 KJA917534 JZE917534 JPI917534 JFM917534 IVQ917534 ILU917534 IBY917534 HSC917534 HIG917534 GYK917534 GOO917534 GES917534 FUW917534 FLA917534 FBE917534 ERI917534 EHM917534 DXQ917534 DNU917534 DDY917534 CUC917534 CKG917534 CAK917534 BQO917534 BGS917534 AWW917534 ANA917534 ADE917534 TI917534 JM917534 Q917534 WVY851998 WMC851998 WCG851998 VSK851998 VIO851998 UYS851998 UOW851998 UFA851998 TVE851998 TLI851998 TBM851998 SRQ851998 SHU851998 RXY851998 ROC851998 REG851998 QUK851998 QKO851998 QAS851998 PQW851998 PHA851998 OXE851998 ONI851998 ODM851998 NTQ851998 NJU851998 MZY851998 MQC851998 MGG851998 LWK851998 LMO851998 LCS851998 KSW851998 KJA851998 JZE851998 JPI851998 JFM851998 IVQ851998 ILU851998 IBY851998 HSC851998 HIG851998 GYK851998 GOO851998 GES851998 FUW851998 FLA851998 FBE851998 ERI851998 EHM851998 DXQ851998 DNU851998 DDY851998 CUC851998 CKG851998 CAK851998 BQO851998 BGS851998 AWW851998 ANA851998 ADE851998 TI851998 JM851998 Q851998 WVY786462 WMC786462 WCG786462 VSK786462 VIO786462 UYS786462 UOW786462 UFA786462 TVE786462 TLI786462 TBM786462 SRQ786462 SHU786462 RXY786462 ROC786462 REG786462 QUK786462 QKO786462 QAS786462 PQW786462 PHA786462 OXE786462 ONI786462 ODM786462 NTQ786462 NJU786462 MZY786462 MQC786462 MGG786462 LWK786462 LMO786462 LCS786462 KSW786462 KJA786462 JZE786462 JPI786462 JFM786462 IVQ786462 ILU786462 IBY786462 HSC786462 HIG786462 GYK786462 GOO786462 GES786462 FUW786462 FLA786462 FBE786462 ERI786462 EHM786462 DXQ786462 DNU786462 DDY786462 CUC786462 CKG786462 CAK786462 BQO786462 BGS786462 AWW786462 ANA786462 ADE786462 TI786462 JM786462 Q786462 WVY720926 WMC720926 WCG720926 VSK720926 VIO720926 UYS720926 UOW720926 UFA720926 TVE720926 TLI720926 TBM720926 SRQ720926 SHU720926 RXY720926 ROC720926 REG720926 QUK720926 QKO720926 QAS720926 PQW720926 PHA720926 OXE720926 ONI720926 ODM720926 NTQ720926 NJU720926 MZY720926 MQC720926 MGG720926 LWK720926 LMO720926 LCS720926 KSW720926 KJA720926 JZE720926 JPI720926 JFM720926 IVQ720926 ILU720926 IBY720926 HSC720926 HIG720926 GYK720926 GOO720926 GES720926 FUW720926 FLA720926 FBE720926 ERI720926 EHM720926 DXQ720926 DNU720926 DDY720926 CUC720926 CKG720926 CAK720926 BQO720926 BGS720926 AWW720926 ANA720926 ADE720926 TI720926 JM720926 Q720926 WVY655390 WMC655390 WCG655390 VSK655390 VIO655390 UYS655390 UOW655390 UFA655390 TVE655390 TLI655390 TBM655390 SRQ655390 SHU655390 RXY655390 ROC655390 REG655390 QUK655390 QKO655390 QAS655390 PQW655390 PHA655390 OXE655390 ONI655390 ODM655390 NTQ655390 NJU655390 MZY655390 MQC655390 MGG655390 LWK655390 LMO655390 LCS655390 KSW655390 KJA655390 JZE655390 JPI655390 JFM655390 IVQ655390 ILU655390 IBY655390 HSC655390 HIG655390 GYK655390 GOO655390 GES655390 FUW655390 FLA655390 FBE655390 ERI655390 EHM655390 DXQ655390 DNU655390 DDY655390 CUC655390 CKG655390 CAK655390 BQO655390 BGS655390 AWW655390 ANA655390 ADE655390 TI655390 JM655390 Q655390 WVY589854 WMC589854 WCG589854 VSK589854 VIO589854 UYS589854 UOW589854 UFA589854 TVE589854 TLI589854 TBM589854 SRQ589854 SHU589854 RXY589854 ROC589854 REG589854 QUK589854 QKO589854 QAS589854 PQW589854 PHA589854 OXE589854 ONI589854 ODM589854 NTQ589854 NJU589854 MZY589854 MQC589854 MGG589854 LWK589854 LMO589854 LCS589854 KSW589854 KJA589854 JZE589854 JPI589854 JFM589854 IVQ589854 ILU589854 IBY589854 HSC589854 HIG589854 GYK589854 GOO589854 GES589854 FUW589854 FLA589854 FBE589854 ERI589854 EHM589854 DXQ589854 DNU589854 DDY589854 CUC589854 CKG589854 CAK589854 BQO589854 BGS589854 AWW589854 ANA589854 ADE589854 TI589854 JM589854 Q589854 WVY524318 WMC524318 WCG524318 VSK524318 VIO524318 UYS524318 UOW524318 UFA524318 TVE524318 TLI524318 TBM524318 SRQ524318 SHU524318 RXY524318 ROC524318 REG524318 QUK524318 QKO524318 QAS524318 PQW524318 PHA524318 OXE524318 ONI524318 ODM524318 NTQ524318 NJU524318 MZY524318 MQC524318 MGG524318 LWK524318 LMO524318 LCS524318 KSW524318 KJA524318 JZE524318 JPI524318 JFM524318 IVQ524318 ILU524318 IBY524318 HSC524318 HIG524318 GYK524318 GOO524318 GES524318 FUW524318 FLA524318 FBE524318 ERI524318 EHM524318 DXQ524318 DNU524318 DDY524318 CUC524318 CKG524318 CAK524318 BQO524318 BGS524318 AWW524318 ANA524318 ADE524318 TI524318 JM524318 Q524318 WVY458782 WMC458782 WCG458782 VSK458782 VIO458782 UYS458782 UOW458782 UFA458782 TVE458782 TLI458782 TBM458782 SRQ458782 SHU458782 RXY458782 ROC458782 REG458782 QUK458782 QKO458782 QAS458782 PQW458782 PHA458782 OXE458782 ONI458782 ODM458782 NTQ458782 NJU458782 MZY458782 MQC458782 MGG458782 LWK458782 LMO458782 LCS458782 KSW458782 KJA458782 JZE458782 JPI458782 JFM458782 IVQ458782 ILU458782 IBY458782 HSC458782 HIG458782 GYK458782 GOO458782 GES458782 FUW458782 FLA458782 FBE458782 ERI458782 EHM458782 DXQ458782 DNU458782 DDY458782 CUC458782 CKG458782 CAK458782 BQO458782 BGS458782 AWW458782 ANA458782 ADE458782 TI458782 JM458782 Q458782 WVY393246 WMC393246 WCG393246 VSK393246 VIO393246 UYS393246 UOW393246 UFA393246 TVE393246 TLI393246 TBM393246 SRQ393246 SHU393246 RXY393246 ROC393246 REG393246 QUK393246 QKO393246 QAS393246 PQW393246 PHA393246 OXE393246 ONI393246 ODM393246 NTQ393246 NJU393246 MZY393246 MQC393246 MGG393246 LWK393246 LMO393246 LCS393246 KSW393246 KJA393246 JZE393246 JPI393246 JFM393246 IVQ393246 ILU393246 IBY393246 HSC393246 HIG393246 GYK393246 GOO393246 GES393246 FUW393246 FLA393246 FBE393246 ERI393246 EHM393246 DXQ393246 DNU393246 DDY393246 CUC393246 CKG393246 CAK393246 BQO393246 BGS393246 AWW393246 ANA393246 ADE393246 TI393246 JM393246 Q393246 WVY327710 WMC327710 WCG327710 VSK327710 VIO327710 UYS327710 UOW327710 UFA327710 TVE327710 TLI327710 TBM327710 SRQ327710 SHU327710 RXY327710 ROC327710 REG327710 QUK327710 QKO327710 QAS327710 PQW327710 PHA327710 OXE327710 ONI327710 ODM327710 NTQ327710 NJU327710 MZY327710 MQC327710 MGG327710 LWK327710 LMO327710 LCS327710 KSW327710 KJA327710 JZE327710 JPI327710 JFM327710 IVQ327710 ILU327710 IBY327710 HSC327710 HIG327710 GYK327710 GOO327710 GES327710 FUW327710 FLA327710 FBE327710 ERI327710 EHM327710 DXQ327710 DNU327710 DDY327710 CUC327710 CKG327710 CAK327710 BQO327710 BGS327710 AWW327710 ANA327710 ADE327710 TI327710 JM327710 Q327710 WVY262174 WMC262174 WCG262174 VSK262174 VIO262174 UYS262174 UOW262174 UFA262174 TVE262174 TLI262174 TBM262174 SRQ262174 SHU262174 RXY262174 ROC262174 REG262174 QUK262174 QKO262174 QAS262174 PQW262174 PHA262174 OXE262174 ONI262174 ODM262174 NTQ262174 NJU262174 MZY262174 MQC262174 MGG262174 LWK262174 LMO262174 LCS262174 KSW262174 KJA262174 JZE262174 JPI262174 JFM262174 IVQ262174 ILU262174 IBY262174 HSC262174 HIG262174 GYK262174 GOO262174 GES262174 FUW262174 FLA262174 FBE262174 ERI262174 EHM262174 DXQ262174 DNU262174 DDY262174 CUC262174 CKG262174 CAK262174 BQO262174 BGS262174 AWW262174 ANA262174 ADE262174 TI262174 JM262174 Q262174 WVY196638 WMC196638 WCG196638 VSK196638 VIO196638 UYS196638 UOW196638 UFA196638 TVE196638 TLI196638 TBM196638 SRQ196638 SHU196638 RXY196638 ROC196638 REG196638 QUK196638 QKO196638 QAS196638 PQW196638 PHA196638 OXE196638 ONI196638 ODM196638 NTQ196638 NJU196638 MZY196638 MQC196638 MGG196638 LWK196638 LMO196638 LCS196638 KSW196638 KJA196638 JZE196638 JPI196638 JFM196638 IVQ196638 ILU196638 IBY196638 HSC196638 HIG196638 GYK196638 GOO196638 GES196638 FUW196638 FLA196638 FBE196638 ERI196638 EHM196638 DXQ196638 DNU196638 DDY196638 CUC196638 CKG196638 CAK196638 BQO196638 BGS196638 AWW196638 ANA196638 ADE196638 TI196638 JM196638 Q196638 WVY131102 WMC131102 WCG131102 VSK131102 VIO131102 UYS131102 UOW131102 UFA131102 TVE131102 TLI131102 TBM131102 SRQ131102 SHU131102 RXY131102 ROC131102 REG131102 QUK131102 QKO131102 QAS131102 PQW131102 PHA131102 OXE131102 ONI131102 ODM131102 NTQ131102 NJU131102 MZY131102 MQC131102 MGG131102 LWK131102 LMO131102 LCS131102 KSW131102 KJA131102 JZE131102 JPI131102 JFM131102 IVQ131102 ILU131102 IBY131102 HSC131102 HIG131102 GYK131102 GOO131102 GES131102 FUW131102 FLA131102 FBE131102 ERI131102 EHM131102 DXQ131102 DNU131102 DDY131102 CUC131102 CKG131102 CAK131102 BQO131102 BGS131102 AWW131102 ANA131102 ADE131102 TI131102 JM131102 Q131102 WVY65566 WMC65566 WCG65566 VSK65566 VIO65566 UYS65566 UOW65566 UFA65566 TVE65566 TLI65566 TBM65566 SRQ65566 SHU65566 RXY65566 ROC65566 REG65566 QUK65566 QKO65566 QAS65566 PQW65566 PHA65566 OXE65566 ONI65566 ODM65566 NTQ65566 NJU65566 MZY65566 MQC65566 MGG65566 LWK65566 LMO65566 LCS65566 KSW65566 KJA65566 JZE65566 JPI65566 JFM65566 IVQ65566 ILU65566 IBY65566 HSC65566 HIG65566 GYK65566 GOO65566 GES65566 FUW65566 FLA65566 FBE65566 ERI65566 EHM65566 DXQ65566 DNU65566 DDY65566 CUC65566 CKG65566 CAK65566 BQO65566 BGS65566 AWW65566 ANA65566 ADE65566 TI65566 JM65566 Q65566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WVV983070 WLZ983070 WCD983070 VSH983070 VIL983070 UYP983070 UOT983070 UEX983070 TVB983070 TLF983070 TBJ983070 SRN983070 SHR983070 RXV983070 RNZ983070 RED983070 QUH983070 QKL983070 QAP983070 PQT983070 PGX983070 OXB983070 ONF983070 ODJ983070 NTN983070 NJR983070 MZV983070 MPZ983070 MGD983070 LWH983070 LML983070 LCP983070 KST983070 KIX983070 JZB983070 JPF983070 JFJ983070 IVN983070 ILR983070 IBV983070 HRZ983070 HID983070 GYH983070 GOL983070 GEP983070 FUT983070 FKX983070 FBB983070 ERF983070 EHJ983070 DXN983070 DNR983070 DDV983070 CTZ983070 CKD983070 CAH983070 BQL983070 BGP983070 AWT983070 AMX983070 ADB983070 TF983070 JJ983070 N983070 WVV917534 WLZ917534 WCD917534 VSH917534 VIL917534 UYP917534 UOT917534 UEX917534 TVB917534 TLF917534 TBJ917534 SRN917534 SHR917534 RXV917534 RNZ917534 RED917534 QUH917534 QKL917534 QAP917534 PQT917534 PGX917534 OXB917534 ONF917534 ODJ917534 NTN917534 NJR917534 MZV917534 MPZ917534 MGD917534 LWH917534 LML917534 LCP917534 KST917534 KIX917534 JZB917534 JPF917534 JFJ917534 IVN917534 ILR917534 IBV917534 HRZ917534 HID917534 GYH917534 GOL917534 GEP917534 FUT917534 FKX917534 FBB917534 ERF917534 EHJ917534 DXN917534 DNR917534 DDV917534 CTZ917534 CKD917534 CAH917534 BQL917534 BGP917534 AWT917534 AMX917534 ADB917534 TF917534 JJ917534 N917534 WVV851998 WLZ851998 WCD851998 VSH851998 VIL851998 UYP851998 UOT851998 UEX851998 TVB851998 TLF851998 TBJ851998 SRN851998 SHR851998 RXV851998 RNZ851998 RED851998 QUH851998 QKL851998 QAP851998 PQT851998 PGX851998 OXB851998 ONF851998 ODJ851998 NTN851998 NJR851998 MZV851998 MPZ851998 MGD851998 LWH851998 LML851998 LCP851998 KST851998 KIX851998 JZB851998 JPF851998 JFJ851998 IVN851998 ILR851998 IBV851998 HRZ851998 HID851998 GYH851998 GOL851998 GEP851998 FUT851998 FKX851998 FBB851998 ERF851998 EHJ851998 DXN851998 DNR851998 DDV851998 CTZ851998 CKD851998 CAH851998 BQL851998 BGP851998 AWT851998 AMX851998 ADB851998 TF851998 JJ851998 N851998 WVV786462 WLZ786462 WCD786462 VSH786462 VIL786462 UYP786462 UOT786462 UEX786462 TVB786462 TLF786462 TBJ786462 SRN786462 SHR786462 RXV786462 RNZ786462 RED786462 QUH786462 QKL786462 QAP786462 PQT786462 PGX786462 OXB786462 ONF786462 ODJ786462 NTN786462 NJR786462 MZV786462 MPZ786462 MGD786462 LWH786462 LML786462 LCP786462 KST786462 KIX786462 JZB786462 JPF786462 JFJ786462 IVN786462 ILR786462 IBV786462 HRZ786462 HID786462 GYH786462 GOL786462 GEP786462 FUT786462 FKX786462 FBB786462 ERF786462 EHJ786462 DXN786462 DNR786462 DDV786462 CTZ786462 CKD786462 CAH786462 BQL786462 BGP786462 AWT786462 AMX786462 ADB786462 TF786462 JJ786462 N786462 WVV720926 WLZ720926 WCD720926 VSH720926 VIL720926 UYP720926 UOT720926 UEX720926 TVB720926 TLF720926 TBJ720926 SRN720926 SHR720926 RXV720926 RNZ720926 RED720926 QUH720926 QKL720926 QAP720926 PQT720926 PGX720926 OXB720926 ONF720926 ODJ720926 NTN720926 NJR720926 MZV720926 MPZ720926 MGD720926 LWH720926 LML720926 LCP720926 KST720926 KIX720926 JZB720926 JPF720926 JFJ720926 IVN720926 ILR720926 IBV720926 HRZ720926 HID720926 GYH720926 GOL720926 GEP720926 FUT720926 FKX720926 FBB720926 ERF720926 EHJ720926 DXN720926 DNR720926 DDV720926 CTZ720926 CKD720926 CAH720926 BQL720926 BGP720926 AWT720926 AMX720926 ADB720926 TF720926 JJ720926 N720926 WVV655390 WLZ655390 WCD655390 VSH655390 VIL655390 UYP655390 UOT655390 UEX655390 TVB655390 TLF655390 TBJ655390 SRN655390 SHR655390 RXV655390 RNZ655390 RED655390 QUH655390 QKL655390 QAP655390 PQT655390 PGX655390 OXB655390 ONF655390 ODJ655390 NTN655390 NJR655390 MZV655390 MPZ655390 MGD655390 LWH655390 LML655390 LCP655390 KST655390 KIX655390 JZB655390 JPF655390 JFJ655390 IVN655390 ILR655390 IBV655390 HRZ655390 HID655390 GYH655390 GOL655390 GEP655390 FUT655390 FKX655390 FBB655390 ERF655390 EHJ655390 DXN655390 DNR655390 DDV655390 CTZ655390 CKD655390 CAH655390 BQL655390 BGP655390 AWT655390 AMX655390 ADB655390 TF655390 JJ655390 N655390 WVV589854 WLZ589854 WCD589854 VSH589854 VIL589854 UYP589854 UOT589854 UEX589854 TVB589854 TLF589854 TBJ589854 SRN589854 SHR589854 RXV589854 RNZ589854 RED589854 QUH589854 QKL589854 QAP589854 PQT589854 PGX589854 OXB589854 ONF589854 ODJ589854 NTN589854 NJR589854 MZV589854 MPZ589854 MGD589854 LWH589854 LML589854 LCP589854 KST589854 KIX589854 JZB589854 JPF589854 JFJ589854 IVN589854 ILR589854 IBV589854 HRZ589854 HID589854 GYH589854 GOL589854 GEP589854 FUT589854 FKX589854 FBB589854 ERF589854 EHJ589854 DXN589854 DNR589854 DDV589854 CTZ589854 CKD589854 CAH589854 BQL589854 BGP589854 AWT589854 AMX589854 ADB589854 TF589854 JJ589854 N589854 WVV524318 WLZ524318 WCD524318 VSH524318 VIL524318 UYP524318 UOT524318 UEX524318 TVB524318 TLF524318 TBJ524318 SRN524318 SHR524318 RXV524318 RNZ524318 RED524318 QUH524318 QKL524318 QAP524318 PQT524318 PGX524318 OXB524318 ONF524318 ODJ524318 NTN524318 NJR524318 MZV524318 MPZ524318 MGD524318 LWH524318 LML524318 LCP524318 KST524318 KIX524318 JZB524318 JPF524318 JFJ524318 IVN524318 ILR524318 IBV524318 HRZ524318 HID524318 GYH524318 GOL524318 GEP524318 FUT524318 FKX524318 FBB524318 ERF524318 EHJ524318 DXN524318 DNR524318 DDV524318 CTZ524318 CKD524318 CAH524318 BQL524318 BGP524318 AWT524318 AMX524318 ADB524318 TF524318 JJ524318 N524318 WVV458782 WLZ458782 WCD458782 VSH458782 VIL458782 UYP458782 UOT458782 UEX458782 TVB458782 TLF458782 TBJ458782 SRN458782 SHR458782 RXV458782 RNZ458782 RED458782 QUH458782 QKL458782 QAP458782 PQT458782 PGX458782 OXB458782 ONF458782 ODJ458782 NTN458782 NJR458782 MZV458782 MPZ458782 MGD458782 LWH458782 LML458782 LCP458782 KST458782 KIX458782 JZB458782 JPF458782 JFJ458782 IVN458782 ILR458782 IBV458782 HRZ458782 HID458782 GYH458782 GOL458782 GEP458782 FUT458782 FKX458782 FBB458782 ERF458782 EHJ458782 DXN458782 DNR458782 DDV458782 CTZ458782 CKD458782 CAH458782 BQL458782 BGP458782 AWT458782 AMX458782 ADB458782 TF458782 JJ458782 N458782 WVV393246 WLZ393246 WCD393246 VSH393246 VIL393246 UYP393246 UOT393246 UEX393246 TVB393246 TLF393246 TBJ393246 SRN393246 SHR393246 RXV393246 RNZ393246 RED393246 QUH393246 QKL393246 QAP393246 PQT393246 PGX393246 OXB393246 ONF393246 ODJ393246 NTN393246 NJR393246 MZV393246 MPZ393246 MGD393246 LWH393246 LML393246 LCP393246 KST393246 KIX393246 JZB393246 JPF393246 JFJ393246 IVN393246 ILR393246 IBV393246 HRZ393246 HID393246 GYH393246 GOL393246 GEP393246 FUT393246 FKX393246 FBB393246 ERF393246 EHJ393246 DXN393246 DNR393246 DDV393246 CTZ393246 CKD393246 CAH393246 BQL393246 BGP393246 AWT393246 AMX393246 ADB393246 TF393246 JJ393246 N393246 WVV327710 WLZ327710 WCD327710 VSH327710 VIL327710 UYP327710 UOT327710 UEX327710 TVB327710 TLF327710 TBJ327710 SRN327710 SHR327710 RXV327710 RNZ327710 RED327710 QUH327710 QKL327710 QAP327710 PQT327710 PGX327710 OXB327710 ONF327710 ODJ327710 NTN327710 NJR327710 MZV327710 MPZ327710 MGD327710 LWH327710 LML327710 LCP327710 KST327710 KIX327710 JZB327710 JPF327710 JFJ327710 IVN327710 ILR327710 IBV327710 HRZ327710 HID327710 GYH327710 GOL327710 GEP327710 FUT327710 FKX327710 FBB327710 ERF327710 EHJ327710 DXN327710 DNR327710 DDV327710 CTZ327710 CKD327710 CAH327710 BQL327710 BGP327710 AWT327710 AMX327710 ADB327710 TF327710 JJ327710 N327710 WVV262174 WLZ262174 WCD262174 VSH262174 VIL262174 UYP262174 UOT262174 UEX262174 TVB262174 TLF262174 TBJ262174 SRN262174 SHR262174 RXV262174 RNZ262174 RED262174 QUH262174 QKL262174 QAP262174 PQT262174 PGX262174 OXB262174 ONF262174 ODJ262174 NTN262174 NJR262174 MZV262174 MPZ262174 MGD262174 LWH262174 LML262174 LCP262174 KST262174 KIX262174 JZB262174 JPF262174 JFJ262174 IVN262174 ILR262174 IBV262174 HRZ262174 HID262174 GYH262174 GOL262174 GEP262174 FUT262174 FKX262174 FBB262174 ERF262174 EHJ262174 DXN262174 DNR262174 DDV262174 CTZ262174 CKD262174 CAH262174 BQL262174 BGP262174 AWT262174 AMX262174 ADB262174 TF262174 JJ262174 N262174 WVV196638 WLZ196638 WCD196638 VSH196638 VIL196638 UYP196638 UOT196638 UEX196638 TVB196638 TLF196638 TBJ196638 SRN196638 SHR196638 RXV196638 RNZ196638 RED196638 QUH196638 QKL196638 QAP196638 PQT196638 PGX196638 OXB196638 ONF196638 ODJ196638 NTN196638 NJR196638 MZV196638 MPZ196638 MGD196638 LWH196638 LML196638 LCP196638 KST196638 KIX196638 JZB196638 JPF196638 JFJ196638 IVN196638 ILR196638 IBV196638 HRZ196638 HID196638 GYH196638 GOL196638 GEP196638 FUT196638 FKX196638 FBB196638 ERF196638 EHJ196638 DXN196638 DNR196638 DDV196638 CTZ196638 CKD196638 CAH196638 BQL196638 BGP196638 AWT196638 AMX196638 ADB196638 TF196638 JJ196638 N196638 WVV131102 WLZ131102 WCD131102 VSH131102 VIL131102 UYP131102 UOT131102 UEX131102 TVB131102 TLF131102 TBJ131102 SRN131102 SHR131102 RXV131102 RNZ131102 RED131102 QUH131102 QKL131102 QAP131102 PQT131102 PGX131102 OXB131102 ONF131102 ODJ131102 NTN131102 NJR131102 MZV131102 MPZ131102 MGD131102 LWH131102 LML131102 LCP131102 KST131102 KIX131102 JZB131102 JPF131102 JFJ131102 IVN131102 ILR131102 IBV131102 HRZ131102 HID131102 GYH131102 GOL131102 GEP131102 FUT131102 FKX131102 FBB131102 ERF131102 EHJ131102 DXN131102 DNR131102 DDV131102 CTZ131102 CKD131102 CAH131102 BQL131102 BGP131102 AWT131102 AMX131102 ADB131102 TF131102 JJ131102 N131102 WVV65566 WLZ65566 WCD65566 VSH65566 VIL65566 UYP65566 UOT65566 UEX65566 TVB65566 TLF65566 TBJ65566 SRN65566 SHR65566 RXV65566 RNZ65566 RED65566 QUH65566 QKL65566 QAP65566 PQT65566 PGX65566 OXB65566 ONF65566 ODJ65566 NTN65566 NJR65566 MZV65566 MPZ65566 MGD65566 LWH65566 LML65566 LCP65566 KST65566 KIX65566 JZB65566 JPF65566 JFJ65566 IVN65566 ILR65566 IBV65566 HRZ65566 HID65566 GYH65566 GOL65566 GEP65566 FUT65566 FKX65566 FBB65566 ERF65566 EHJ65566 DXN65566 DNR65566 DDV65566 CTZ65566 CKD65566 CAH65566 BQL65566 BGP65566 AWT65566 AMX65566 ADB65566 TF65566 JJ65566 N65566 WVV30 WLZ30 WCD30 VSH30 VIL30 UYP30 UOT30 UEX30 TVB30 TLF30 TBJ30 SRN30 SHR30 RXV30 RNZ30 RED30 QUH30 QKL30 QAP30 PQT30 PGX30 OXB30 ONF30 ODJ30 NTN30 NJR30 MZV30 MPZ30 MGD30 LWH30 LML30 LCP30 KST30 KIX30 JZB30 JPF30 JFJ30 IVN30 ILR30 IBV30 HRZ30 HID30 GYH30 GOL30 GEP30 FUT30 FKX30 FBB30 ERF30 EHJ30 DXN30 DNR30 DDV30 CTZ30 CKD30 CAH30 BQL30 BGP30 AWT30 AMX30 ADB30 TF30 JJ30 N30 WVV983066 WLZ983066 WCD983066 VSH983066 VIL983066 UYP983066 UOT983066 UEX983066 TVB983066 TLF983066 TBJ983066 SRN983066 SHR983066 RXV983066 RNZ983066 RED983066 QUH983066 QKL983066 QAP983066 PQT983066 PGX983066 OXB983066 ONF983066 ODJ983066 NTN983066 NJR983066 MZV983066 MPZ983066 MGD983066 LWH983066 LML983066 LCP983066 KST983066 KIX983066 JZB983066 JPF983066 JFJ983066 IVN983066 ILR983066 IBV983066 HRZ983066 HID983066 GYH983066 GOL983066 GEP983066 FUT983066 FKX983066 FBB983066 ERF983066 EHJ983066 DXN983066 DNR983066 DDV983066 CTZ983066 CKD983066 CAH983066 BQL983066 BGP983066 AWT983066 AMX983066 ADB983066 TF983066 JJ983066 N983066 WVV917530 WLZ917530 WCD917530 VSH917530 VIL917530 UYP917530 UOT917530 UEX917530 TVB917530 TLF917530 TBJ917530 SRN917530 SHR917530 RXV917530 RNZ917530 RED917530 QUH917530 QKL917530 QAP917530 PQT917530 PGX917530 OXB917530 ONF917530 ODJ917530 NTN917530 NJR917530 MZV917530 MPZ917530 MGD917530 LWH917530 LML917530 LCP917530 KST917530 KIX917530 JZB917530 JPF917530 JFJ917530 IVN917530 ILR917530 IBV917530 HRZ917530 HID917530 GYH917530 GOL917530 GEP917530 FUT917530 FKX917530 FBB917530 ERF917530 EHJ917530 DXN917530 DNR917530 DDV917530 CTZ917530 CKD917530 CAH917530 BQL917530 BGP917530 AWT917530 AMX917530 ADB917530 TF917530 JJ917530 N917530 WVV851994 WLZ851994 WCD851994 VSH851994 VIL851994 UYP851994 UOT851994 UEX851994 TVB851994 TLF851994 TBJ851994 SRN851994 SHR851994 RXV851994 RNZ851994 RED851994 QUH851994 QKL851994 QAP851994 PQT851994 PGX851994 OXB851994 ONF851994 ODJ851994 NTN851994 NJR851994 MZV851994 MPZ851994 MGD851994 LWH851994 LML851994 LCP851994 KST851994 KIX851994 JZB851994 JPF851994 JFJ851994 IVN851994 ILR851994 IBV851994 HRZ851994 HID851994 GYH851994 GOL851994 GEP851994 FUT851994 FKX851994 FBB851994 ERF851994 EHJ851994 DXN851994 DNR851994 DDV851994 CTZ851994 CKD851994 CAH851994 BQL851994 BGP851994 AWT851994 AMX851994 ADB851994 TF851994 JJ851994 N851994 WVV786458 WLZ786458 WCD786458 VSH786458 VIL786458 UYP786458 UOT786458 UEX786458 TVB786458 TLF786458 TBJ786458 SRN786458 SHR786458 RXV786458 RNZ786458 RED786458 QUH786458 QKL786458 QAP786458 PQT786458 PGX786458 OXB786458 ONF786458 ODJ786458 NTN786458 NJR786458 MZV786458 MPZ786458 MGD786458 LWH786458 LML786458 LCP786458 KST786458 KIX786458 JZB786458 JPF786458 JFJ786458 IVN786458 ILR786458 IBV786458 HRZ786458 HID786458 GYH786458 GOL786458 GEP786458 FUT786458 FKX786458 FBB786458 ERF786458 EHJ786458 DXN786458 DNR786458 DDV786458 CTZ786458 CKD786458 CAH786458 BQL786458 BGP786458 AWT786458 AMX786458 ADB786458 TF786458 JJ786458 N786458 WVV720922 WLZ720922 WCD720922 VSH720922 VIL720922 UYP720922 UOT720922 UEX720922 TVB720922 TLF720922 TBJ720922 SRN720922 SHR720922 RXV720922 RNZ720922 RED720922 QUH720922 QKL720922 QAP720922 PQT720922 PGX720922 OXB720922 ONF720922 ODJ720922 NTN720922 NJR720922 MZV720922 MPZ720922 MGD720922 LWH720922 LML720922 LCP720922 KST720922 KIX720922 JZB720922 JPF720922 JFJ720922 IVN720922 ILR720922 IBV720922 HRZ720922 HID720922 GYH720922 GOL720922 GEP720922 FUT720922 FKX720922 FBB720922 ERF720922 EHJ720922 DXN720922 DNR720922 DDV720922 CTZ720922 CKD720922 CAH720922 BQL720922 BGP720922 AWT720922 AMX720922 ADB720922 TF720922 JJ720922 N720922 WVV655386 WLZ655386 WCD655386 VSH655386 VIL655386 UYP655386 UOT655386 UEX655386 TVB655386 TLF655386 TBJ655386 SRN655386 SHR655386 RXV655386 RNZ655386 RED655386 QUH655386 QKL655386 QAP655386 PQT655386 PGX655386 OXB655386 ONF655386 ODJ655386 NTN655386 NJR655386 MZV655386 MPZ655386 MGD655386 LWH655386 LML655386 LCP655386 KST655386 KIX655386 JZB655386 JPF655386 JFJ655386 IVN655386 ILR655386 IBV655386 HRZ655386 HID655386 GYH655386 GOL655386 GEP655386 FUT655386 FKX655386 FBB655386 ERF655386 EHJ655386 DXN655386 DNR655386 DDV655386 CTZ655386 CKD655386 CAH655386 BQL655386 BGP655386 AWT655386 AMX655386 ADB655386 TF655386 JJ655386 N655386 WVV589850 WLZ589850 WCD589850 VSH589850 VIL589850 UYP589850 UOT589850 UEX589850 TVB589850 TLF589850 TBJ589850 SRN589850 SHR589850 RXV589850 RNZ589850 RED589850 QUH589850 QKL589850 QAP589850 PQT589850 PGX589850 OXB589850 ONF589850 ODJ589850 NTN589850 NJR589850 MZV589850 MPZ589850 MGD589850 LWH589850 LML589850 LCP589850 KST589850 KIX589850 JZB589850 JPF589850 JFJ589850 IVN589850 ILR589850 IBV589850 HRZ589850 HID589850 GYH589850 GOL589850 GEP589850 FUT589850 FKX589850 FBB589850 ERF589850 EHJ589850 DXN589850 DNR589850 DDV589850 CTZ589850 CKD589850 CAH589850 BQL589850 BGP589850 AWT589850 AMX589850 ADB589850 TF589850 JJ589850 N589850 WVV524314 WLZ524314 WCD524314 VSH524314 VIL524314 UYP524314 UOT524314 UEX524314 TVB524314 TLF524314 TBJ524314 SRN524314 SHR524314 RXV524314 RNZ524314 RED524314 QUH524314 QKL524314 QAP524314 PQT524314 PGX524314 OXB524314 ONF524314 ODJ524314 NTN524314 NJR524314 MZV524314 MPZ524314 MGD524314 LWH524314 LML524314 LCP524314 KST524314 KIX524314 JZB524314 JPF524314 JFJ524314 IVN524314 ILR524314 IBV524314 HRZ524314 HID524314 GYH524314 GOL524314 GEP524314 FUT524314 FKX524314 FBB524314 ERF524314 EHJ524314 DXN524314 DNR524314 DDV524314 CTZ524314 CKD524314 CAH524314 BQL524314 BGP524314 AWT524314 AMX524314 ADB524314 TF524314 JJ524314 N524314 WVV458778 WLZ458778 WCD458778 VSH458778 VIL458778 UYP458778 UOT458778 UEX458778 TVB458778 TLF458778 TBJ458778 SRN458778 SHR458778 RXV458778 RNZ458778 RED458778 QUH458778 QKL458778 QAP458778 PQT458778 PGX458778 OXB458778 ONF458778 ODJ458778 NTN458778 NJR458778 MZV458778 MPZ458778 MGD458778 LWH458778 LML458778 LCP458778 KST458778 KIX458778 JZB458778 JPF458778 JFJ458778 IVN458778 ILR458778 IBV458778 HRZ458778 HID458778 GYH458778 GOL458778 GEP458778 FUT458778 FKX458778 FBB458778 ERF458778 EHJ458778 DXN458778 DNR458778 DDV458778 CTZ458778 CKD458778 CAH458778 BQL458778 BGP458778 AWT458778 AMX458778 ADB458778 TF458778 JJ458778 N458778 WVV393242 WLZ393242 WCD393242 VSH393242 VIL393242 UYP393242 UOT393242 UEX393242 TVB393242 TLF393242 TBJ393242 SRN393242 SHR393242 RXV393242 RNZ393242 RED393242 QUH393242 QKL393242 QAP393242 PQT393242 PGX393242 OXB393242 ONF393242 ODJ393242 NTN393242 NJR393242 MZV393242 MPZ393242 MGD393242 LWH393242 LML393242 LCP393242 KST393242 KIX393242 JZB393242 JPF393242 JFJ393242 IVN393242 ILR393242 IBV393242 HRZ393242 HID393242 GYH393242 GOL393242 GEP393242 FUT393242 FKX393242 FBB393242 ERF393242 EHJ393242 DXN393242 DNR393242 DDV393242 CTZ393242 CKD393242 CAH393242 BQL393242 BGP393242 AWT393242 AMX393242 ADB393242 TF393242 JJ393242 N393242 WVV327706 WLZ327706 WCD327706 VSH327706 VIL327706 UYP327706 UOT327706 UEX327706 TVB327706 TLF327706 TBJ327706 SRN327706 SHR327706 RXV327706 RNZ327706 RED327706 QUH327706 QKL327706 QAP327706 PQT327706 PGX327706 OXB327706 ONF327706 ODJ327706 NTN327706 NJR327706 MZV327706 MPZ327706 MGD327706 LWH327706 LML327706 LCP327706 KST327706 KIX327706 JZB327706 JPF327706 JFJ327706 IVN327706 ILR327706 IBV327706 HRZ327706 HID327706 GYH327706 GOL327706 GEP327706 FUT327706 FKX327706 FBB327706 ERF327706 EHJ327706 DXN327706 DNR327706 DDV327706 CTZ327706 CKD327706 CAH327706 BQL327706 BGP327706 AWT327706 AMX327706 ADB327706 TF327706 JJ327706 N327706 WVV262170 WLZ262170 WCD262170 VSH262170 VIL262170 UYP262170 UOT262170 UEX262170 TVB262170 TLF262170 TBJ262170 SRN262170 SHR262170 RXV262170 RNZ262170 RED262170 QUH262170 QKL262170 QAP262170 PQT262170 PGX262170 OXB262170 ONF262170 ODJ262170 NTN262170 NJR262170 MZV262170 MPZ262170 MGD262170 LWH262170 LML262170 LCP262170 KST262170 KIX262170 JZB262170 JPF262170 JFJ262170 IVN262170 ILR262170 IBV262170 HRZ262170 HID262170 GYH262170 GOL262170 GEP262170 FUT262170 FKX262170 FBB262170 ERF262170 EHJ262170 DXN262170 DNR262170 DDV262170 CTZ262170 CKD262170 CAH262170 BQL262170 BGP262170 AWT262170 AMX262170 ADB262170 TF262170 JJ262170 N262170 WVV196634 WLZ196634 WCD196634 VSH196634 VIL196634 UYP196634 UOT196634 UEX196634 TVB196634 TLF196634 TBJ196634 SRN196634 SHR196634 RXV196634 RNZ196634 RED196634 QUH196634 QKL196634 QAP196634 PQT196634 PGX196634 OXB196634 ONF196634 ODJ196634 NTN196634 NJR196634 MZV196634 MPZ196634 MGD196634 LWH196634 LML196634 LCP196634 KST196634 KIX196634 JZB196634 JPF196634 JFJ196634 IVN196634 ILR196634 IBV196634 HRZ196634 HID196634 GYH196634 GOL196634 GEP196634 FUT196634 FKX196634 FBB196634 ERF196634 EHJ196634 DXN196634 DNR196634 DDV196634 CTZ196634 CKD196634 CAH196634 BQL196634 BGP196634 AWT196634 AMX196634 ADB196634 TF196634 JJ196634 N196634 WVV131098 WLZ131098 WCD131098 VSH131098 VIL131098 UYP131098 UOT131098 UEX131098 TVB131098 TLF131098 TBJ131098 SRN131098 SHR131098 RXV131098 RNZ131098 RED131098 QUH131098 QKL131098 QAP131098 PQT131098 PGX131098 OXB131098 ONF131098 ODJ131098 NTN131098 NJR131098 MZV131098 MPZ131098 MGD131098 LWH131098 LML131098 LCP131098 KST131098 KIX131098 JZB131098 JPF131098 JFJ131098 IVN131098 ILR131098 IBV131098 HRZ131098 HID131098 GYH131098 GOL131098 GEP131098 FUT131098 FKX131098 FBB131098 ERF131098 EHJ131098 DXN131098 DNR131098 DDV131098 CTZ131098 CKD131098 CAH131098 BQL131098 BGP131098 AWT131098 AMX131098 ADB131098 TF131098 JJ131098 N131098 WVV65562 WLZ65562 WCD65562 VSH65562 VIL65562 UYP65562 UOT65562 UEX65562 TVB65562 TLF65562 TBJ65562 SRN65562 SHR65562 RXV65562 RNZ65562 RED65562 QUH65562 QKL65562 QAP65562 PQT65562 PGX65562 OXB65562 ONF65562 ODJ65562 NTN65562 NJR65562 MZV65562 MPZ65562 MGD65562 LWH65562 LML65562 LCP65562 KST65562 KIX65562 JZB65562 JPF65562 JFJ65562 IVN65562 ILR65562 IBV65562 HRZ65562 HID65562 GYH65562 GOL65562 GEP65562 FUT65562 FKX65562 FBB65562 ERF65562 EHJ65562 DXN65562 DNR65562 DDV65562 CTZ65562 CKD65562 CAH65562 BQL65562 BGP65562 AWT65562 AMX65562 ADB65562 TF65562 JJ65562 N65562 WVV26 WLZ26 WCD26 VSH26 VIL26 UYP26 UOT26 UEX26 TVB26 TLF26 TBJ26 SRN26 SHR26 RXV26 RNZ26 RED26 QUH26 QKL26 QAP26 PQT26 PGX26 OXB26 ONF26 ODJ26 NTN26 NJR26 MZV26 MPZ26 MGD26 LWH26 LML26 LCP26 KST26 KIX26 JZB26 JPF26 JFJ26 IVN26 ILR26 IBV26 HRZ26 HID26 GYH26 GOL26 GEP26 FUT26 FKX26 FBB26 ERF26 EHJ26 DXN26 DNR26 DDV26 CTZ26 CKD26 CAH26 BQL26 BGP26 AWT26 AMX26 ADB26 TF26 JJ26" xr:uid="{7A5205C0-5E19-4BD3-B3D2-0D560E959F93}">
      <formula1>$AJ$26:$AJ$27</formula1>
    </dataValidation>
    <dataValidation type="list" allowBlank="1" showInputMessage="1" sqref="P25:Q25" xr:uid="{6BB02846-3F1F-43D6-B807-2757197BCCF6}">
      <formula1>"　 ,確認,確更"</formula1>
    </dataValidation>
    <dataValidation type="list" allowBlank="1" showInputMessage="1" sqref="R25:U25" xr:uid="{969C7EDD-FE30-4AF6-AEC7-3B5B05969AA9}">
      <formula1>"　,建築ＩＰＥＣ,昇降ＩＰＥＣ,工作ＩＰＥＣ,設備ＩＰＥＣ"</formula1>
    </dataValidation>
  </dataValidations>
  <pageMargins left="0.78740157480314965" right="0.78740157480314965" top="0.98425196850393704" bottom="0.98425196850393704" header="0.51181102362204722" footer="0.51181102362204722"/>
  <pageSetup paperSize="9" scale="96" orientation="portrait" blackAndWhite="1" horizontalDpi="300" verticalDpi="300" r:id="rId1"/>
  <headerFooter alignWithMargins="0">
    <oddFooter>&amp;LＩＰＥＣー10　工事取りやめ届.xls&amp;Rｖｅｒ１.2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CFFCC"/>
  </sheetPr>
  <dimension ref="A6:V1333"/>
  <sheetViews>
    <sheetView zoomScale="90" zoomScaleNormal="100" workbookViewId="0">
      <pane xSplit="2" ySplit="6" topLeftCell="C28" activePane="bottomRight" state="frozen"/>
      <selection pane="topRight" activeCell="C1" sqref="C1"/>
      <selection pane="bottomLeft" activeCell="A7" sqref="A7"/>
      <selection pane="bottomRight" activeCell="B32" sqref="B32"/>
    </sheetView>
  </sheetViews>
  <sheetFormatPr defaultColWidth="9" defaultRowHeight="15" customHeight="1"/>
  <cols>
    <col min="1" max="1" width="15.625" style="21" customWidth="1"/>
    <col min="2" max="2" width="31.375" style="21" customWidth="1"/>
    <col min="3" max="3" width="37.875" style="21" customWidth="1"/>
    <col min="4" max="4" width="15.625" style="21" customWidth="1"/>
    <col min="5" max="5" width="42.25" style="21" customWidth="1"/>
    <col min="6" max="6" width="27.625" style="21" customWidth="1"/>
    <col min="7" max="7" width="35.625" style="21" customWidth="1"/>
    <col min="8" max="8" width="9" style="21" customWidth="1"/>
    <col min="9" max="16384" width="9" style="21"/>
  </cols>
  <sheetData>
    <row r="6" spans="1:8" ht="12">
      <c r="A6" s="21" t="s">
        <v>54</v>
      </c>
      <c r="C6" s="21" t="s">
        <v>55</v>
      </c>
      <c r="D6" s="21" t="s">
        <v>56</v>
      </c>
      <c r="E6" s="21" t="s">
        <v>57</v>
      </c>
      <c r="F6" s="21" t="s">
        <v>58</v>
      </c>
      <c r="G6" s="122" t="s">
        <v>2</v>
      </c>
    </row>
    <row r="7" spans="1:8" ht="12">
      <c r="A7" s="8" t="s">
        <v>59</v>
      </c>
      <c r="B7" s="31"/>
      <c r="C7" s="21" t="s">
        <v>60</v>
      </c>
      <c r="D7" s="162"/>
      <c r="E7" s="21" t="s">
        <v>61</v>
      </c>
      <c r="F7" s="162" t="str">
        <f>IF(_output_title="","",_output_title)</f>
        <v/>
      </c>
    </row>
    <row r="8" spans="1:8" ht="12">
      <c r="A8" s="15"/>
      <c r="B8" s="121"/>
      <c r="D8" s="162"/>
      <c r="F8" s="162"/>
    </row>
    <row r="9" spans="1:8" ht="12">
      <c r="A9" s="8" t="s">
        <v>62</v>
      </c>
      <c r="B9" s="31"/>
      <c r="C9" s="21" t="s">
        <v>63</v>
      </c>
      <c r="D9" s="162" t="s">
        <v>11</v>
      </c>
      <c r="E9" s="21" t="s">
        <v>64</v>
      </c>
      <c r="F9" s="162" t="str">
        <f>IF(_output_sheetname="","",_output_sheetname)</f>
        <v>追加説明書（中間）</v>
      </c>
    </row>
    <row r="10" spans="1:8" ht="12">
      <c r="A10" s="15"/>
      <c r="B10" s="121"/>
      <c r="D10" s="162"/>
      <c r="F10" s="162"/>
    </row>
    <row r="11" spans="1:8" ht="12">
      <c r="A11" s="49" t="s">
        <v>65</v>
      </c>
      <c r="B11" s="50"/>
      <c r="C11" s="21" t="s">
        <v>66</v>
      </c>
      <c r="D11" s="162" t="s">
        <v>67</v>
      </c>
      <c r="E11" s="21" t="s">
        <v>68</v>
      </c>
      <c r="F11" s="162" t="str">
        <f>IF(wsjob_TARGET_KIND__label="","",wsjob_TARGET_KIND__label)</f>
        <v>建築物</v>
      </c>
      <c r="G11" s="22"/>
      <c r="H11" s="22"/>
    </row>
    <row r="12" spans="1:8" ht="62.1" customHeight="1">
      <c r="A12" s="86"/>
      <c r="B12" s="80" t="s">
        <v>69</v>
      </c>
      <c r="C12" s="21" t="s">
        <v>70</v>
      </c>
      <c r="D12" s="162">
        <v>100</v>
      </c>
      <c r="E12" s="21" t="s">
        <v>71</v>
      </c>
      <c r="F12" s="162" t="str">
        <f ca="1">IF(wsjob_JOB_SET_KIND="","",IF(ISERROR(MATCH(wsjob_JOB_SET_KIND,cls_JOB_SET_KIND_erea,0)),"未設定コード",OFFSET(cls_JOB_SET_KIND_base_point,MATCH(wsjob_JOB_SET_KIND,cls_JOB_SET_KIND_erea,0),0)))</f>
        <v>基準法</v>
      </c>
      <c r="G12" s="60" t="s">
        <v>72</v>
      </c>
      <c r="H12" s="22"/>
    </row>
    <row r="13" spans="1:8" ht="62.1" customHeight="1">
      <c r="A13" s="86"/>
      <c r="B13" s="80" t="s">
        <v>73</v>
      </c>
      <c r="C13" s="21" t="s">
        <v>74</v>
      </c>
      <c r="D13" s="162">
        <v>1</v>
      </c>
      <c r="E13" s="21" t="s">
        <v>75</v>
      </c>
      <c r="F13" s="162" t="str">
        <f ca="1">IF(wsjob_TARGET_KIND="","",IF(ISERROR(MATCH(wsjob_TARGET_KIND,cls_TARGET_KIND_erea,0)),"未設定コード",OFFSET(cls_TARGET_KIND_base_point,MATCH(wsjob_TARGET_KIND,cls_TARGET_KIND_erea,0),0)))</f>
        <v>建築物</v>
      </c>
      <c r="G13" s="60" t="s">
        <v>76</v>
      </c>
      <c r="H13" s="22"/>
    </row>
    <row r="14" spans="1:8" ht="16.5" customHeight="1">
      <c r="A14" s="86"/>
      <c r="B14" s="80" t="s">
        <v>67</v>
      </c>
      <c r="D14" s="22"/>
      <c r="E14" s="21" t="s">
        <v>77</v>
      </c>
      <c r="F14" s="162" t="str">
        <f>IF(wsjob_TARGET_KIND=1,"■","□")</f>
        <v>■</v>
      </c>
      <c r="G14" s="60"/>
      <c r="H14" s="22"/>
    </row>
    <row r="15" spans="1:8" ht="16.5" customHeight="1">
      <c r="A15" s="86"/>
      <c r="B15" s="80" t="s">
        <v>78</v>
      </c>
      <c r="D15" s="22"/>
      <c r="E15" s="21" t="s">
        <v>79</v>
      </c>
      <c r="F15" s="162" t="str">
        <f>IF(wsjob_TARGET_KIND=2,"■","□")</f>
        <v>□</v>
      </c>
      <c r="G15" s="60"/>
      <c r="H15" s="22"/>
    </row>
    <row r="16" spans="1:8" ht="16.5" customHeight="1">
      <c r="A16" s="86"/>
      <c r="B16" s="80" t="s">
        <v>80</v>
      </c>
      <c r="D16" s="22"/>
      <c r="E16" s="21" t="s">
        <v>81</v>
      </c>
      <c r="F16" s="162" t="str">
        <f>IF(wsjob_TARGET_KIND=3,"■","□")</f>
        <v>□</v>
      </c>
      <c r="G16" s="60"/>
      <c r="H16" s="22"/>
    </row>
    <row r="17" spans="1:8" ht="16.5" customHeight="1">
      <c r="A17" s="86"/>
      <c r="B17" s="80" t="s">
        <v>82</v>
      </c>
      <c r="D17" s="22"/>
      <c r="E17" s="21" t="s">
        <v>83</v>
      </c>
      <c r="F17" s="162" t="str">
        <f>IF(wsjob_TARGET_KIND=4,"■","□")</f>
        <v>□</v>
      </c>
      <c r="G17" s="60"/>
      <c r="H17" s="22"/>
    </row>
    <row r="18" spans="1:8" ht="16.5" customHeight="1">
      <c r="A18" s="86"/>
      <c r="B18" s="80" t="s">
        <v>84</v>
      </c>
      <c r="D18" s="22"/>
      <c r="E18" s="21" t="s">
        <v>85</v>
      </c>
      <c r="F18" s="162" t="str">
        <f>IF(wsjob_TARGET_KIND=5,"■","□")</f>
        <v>□</v>
      </c>
      <c r="G18" s="60"/>
      <c r="H18" s="22"/>
    </row>
    <row r="19" spans="1:8" ht="62.1" customHeight="1">
      <c r="A19" s="86"/>
      <c r="B19" s="80" t="s">
        <v>86</v>
      </c>
      <c r="C19" s="21" t="s">
        <v>87</v>
      </c>
      <c r="D19" s="162">
        <v>103</v>
      </c>
      <c r="E19" s="21" t="s">
        <v>88</v>
      </c>
      <c r="F19" s="162" t="str">
        <f ca="1">IF(wsjob_JOB_KIND="","",IF(ISERROR(MATCH(wsjob_JOB_KIND,cls_JOB_KIND_erea,0)),"未設定コード",OFFSET(cls_JOB_KIND_base_point,MATCH(wsjob_JOB_KIND,cls_JOB_KIND_erea,0),0)))</f>
        <v>中間検査</v>
      </c>
      <c r="G19" s="60" t="s">
        <v>89</v>
      </c>
      <c r="H19" s="22"/>
    </row>
    <row r="20" spans="1:8" ht="16.5" customHeight="1">
      <c r="A20" s="236"/>
      <c r="B20" s="158"/>
      <c r="D20" s="22"/>
      <c r="E20" s="21" t="s">
        <v>90</v>
      </c>
      <c r="F20" s="162" t="str">
        <f>IF(OR(wsjob_JOB_KIND=101,wsjob_JOB_KIND=102),"■","□")</f>
        <v>□</v>
      </c>
      <c r="G20" s="60"/>
      <c r="H20" s="22"/>
    </row>
    <row r="21" spans="1:8" ht="16.5" customHeight="1">
      <c r="A21" s="236"/>
      <c r="B21" s="158"/>
      <c r="D21" s="22"/>
      <c r="E21" s="21" t="s">
        <v>91</v>
      </c>
      <c r="F21" s="162" t="str">
        <f>IF(wsjob_JOB_KIND=103,"■","□")</f>
        <v>■</v>
      </c>
      <c r="G21" s="60"/>
      <c r="H21" s="22"/>
    </row>
    <row r="22" spans="1:8" ht="16.5" customHeight="1">
      <c r="A22" s="236"/>
      <c r="B22" s="158"/>
      <c r="D22" s="22"/>
      <c r="E22" s="21" t="s">
        <v>92</v>
      </c>
      <c r="F22" s="162" t="str">
        <f>IF(wsjob_JOB_KIND=104,"■","□")</f>
        <v>□</v>
      </c>
      <c r="G22" s="60"/>
      <c r="H22" s="22"/>
    </row>
    <row r="23" spans="1:8" ht="12">
      <c r="A23" s="87"/>
      <c r="B23" s="88"/>
      <c r="F23" s="22"/>
      <c r="G23" s="22"/>
      <c r="H23" s="22"/>
    </row>
    <row r="24" spans="1:8" ht="12">
      <c r="A24" s="139"/>
      <c r="B24" s="140"/>
      <c r="D24" s="22"/>
      <c r="F24" s="22"/>
      <c r="G24" s="22"/>
      <c r="H24" s="22"/>
    </row>
    <row r="25" spans="1:8" ht="12">
      <c r="A25" s="165" t="s">
        <v>93</v>
      </c>
      <c r="B25" s="166"/>
    </row>
    <row r="26" spans="1:8" ht="12">
      <c r="A26" s="167"/>
      <c r="B26" s="169" t="s">
        <v>94</v>
      </c>
      <c r="E26" s="21" t="s">
        <v>95</v>
      </c>
      <c r="F26" s="47">
        <f ca="1">IF(wsjob_JOB_KIND="","",IF(ISERROR(MATCH(wsjob_JOB_KIND,cls_JOB_KIND_erea,0)),"",OFFSET(cls_JOB_KIND_base_point,MATCH(wsjob_JOB_KIND,cls_JOB_KIND_erea,0),1)))</f>
        <v>3</v>
      </c>
      <c r="G26" s="21" t="s">
        <v>96</v>
      </c>
    </row>
    <row r="27" spans="1:8" ht="12">
      <c r="A27" s="167"/>
      <c r="B27" s="169" t="s">
        <v>97</v>
      </c>
      <c r="E27" s="21" t="s">
        <v>98</v>
      </c>
      <c r="F27" s="47" t="str">
        <f ca="1">IF(AND(chk_JOB_KIND_kakunin=1,wskakunin_koutei01_KOUTEI_TEXT&lt;&gt;""),1,"")</f>
        <v/>
      </c>
    </row>
    <row r="28" spans="1:8" ht="12">
      <c r="A28" s="167"/>
      <c r="B28" s="169" t="s">
        <v>99</v>
      </c>
      <c r="E28" s="21" t="s">
        <v>100</v>
      </c>
      <c r="F28" s="47" t="str">
        <f ca="1">IF(AND(chk_JOB_KIND_kakunin=1,wskakunin_koutei02_KOUTEI_TEXT&lt;&gt;""),1,"")</f>
        <v/>
      </c>
    </row>
    <row r="29" spans="1:8" ht="12">
      <c r="A29" s="167"/>
      <c r="B29" s="169" t="s">
        <v>101</v>
      </c>
      <c r="E29" s="21" t="s">
        <v>102</v>
      </c>
      <c r="F29" s="47" t="str">
        <f ca="1">IF(AND(chk_JOB_KIND_kakunin=1,wskakunin_koutei03_KOUTEI_TEXT&lt;&gt;""),1,"")</f>
        <v/>
      </c>
    </row>
    <row r="30" spans="1:8" ht="12">
      <c r="A30" s="167"/>
      <c r="B30" s="202" t="s">
        <v>103</v>
      </c>
      <c r="E30" s="21" t="s">
        <v>104</v>
      </c>
      <c r="F30" s="47">
        <f ca="1">IF(chk_JOB_KIND_kakunin=3,IF(wskakunin_koutei_izen01_KOUTEI_TEXT="",30,IF(wskakunin_koutei_izen02_KOUTEI_TEXT&lt;&gt;"",32,31)),IF(chk_JOB_KIND_kakunin=1,10,IF(chk_JOB_KIND_kakunin=4,40,"")))</f>
        <v>30</v>
      </c>
      <c r="G30" s="21" t="s">
        <v>105</v>
      </c>
    </row>
    <row r="31" spans="1:8" ht="12">
      <c r="A31" s="167"/>
      <c r="B31" s="202" t="s">
        <v>106</v>
      </c>
      <c r="E31" s="21" t="s">
        <v>107</v>
      </c>
      <c r="F31" s="47" t="str">
        <f ca="1">IF(chk_JOB_KIND_kakunin=1,cst_shinsei_ISSUE_NO,cst_wskakunin_LAST_ISSUE_NO)</f>
        <v>R05確認建築IPEC70003</v>
      </c>
      <c r="G31" s="21" t="s">
        <v>108</v>
      </c>
    </row>
    <row r="32" spans="1:8" ht="12">
      <c r="A32" s="168"/>
      <c r="B32" s="170"/>
      <c r="E32" s="21" t="s">
        <v>109</v>
      </c>
      <c r="F32" s="47">
        <f ca="1">IF(chk_JOB_KIND_kakunin=1,cst_shinsei_ISSUE_DATE,cst_wskakunin_LAST_ISSUE_DATE)</f>
        <v>45363</v>
      </c>
    </row>
    <row r="33" spans="1:8" ht="12">
      <c r="A33" s="37"/>
    </row>
    <row r="34" spans="1:8" ht="12">
      <c r="A34" s="240" t="s">
        <v>110</v>
      </c>
      <c r="B34" s="241"/>
      <c r="C34" s="21" t="s">
        <v>111</v>
      </c>
      <c r="D34" s="275" t="s">
        <v>112</v>
      </c>
      <c r="E34" s="21" t="s">
        <v>113</v>
      </c>
      <c r="F34" s="275" t="str">
        <f>IF(shinsei_PROVO_DATE="","",shinsei_PROVO_DATE)</f>
        <v/>
      </c>
    </row>
    <row r="35" spans="1:8" ht="12">
      <c r="A35" s="240" t="s">
        <v>114</v>
      </c>
      <c r="B35" s="241"/>
      <c r="C35" s="21" t="s">
        <v>115</v>
      </c>
      <c r="D35" s="257" t="s">
        <v>112</v>
      </c>
      <c r="E35" s="21" t="s">
        <v>116</v>
      </c>
      <c r="F35" s="162" t="str">
        <f>IF(shinsei_PROVO_NO="","",shinsei_PROVO_NO)</f>
        <v/>
      </c>
    </row>
    <row r="36" spans="1:8" ht="12">
      <c r="A36" s="37"/>
    </row>
    <row r="37" spans="1:8" ht="12">
      <c r="A37" s="171" t="s">
        <v>117</v>
      </c>
      <c r="B37" s="172"/>
      <c r="D37" s="22"/>
      <c r="F37" s="22"/>
      <c r="G37" s="22"/>
      <c r="H37" s="22"/>
    </row>
    <row r="38" spans="1:8" ht="12">
      <c r="A38" s="173" t="s">
        <v>118</v>
      </c>
      <c r="B38" s="174"/>
      <c r="C38" s="21" t="s">
        <v>119</v>
      </c>
      <c r="D38" s="275" t="s">
        <v>112</v>
      </c>
      <c r="E38" s="21" t="s">
        <v>120</v>
      </c>
      <c r="F38" s="162" t="str">
        <f>IF(shinsei_ACCEPT_DATE="","",shinsei_ACCEPT_DATE)</f>
        <v/>
      </c>
      <c r="G38" s="22"/>
      <c r="H38" s="22"/>
    </row>
    <row r="39" spans="1:8" ht="12">
      <c r="A39" s="175"/>
      <c r="B39" s="176"/>
      <c r="D39" s="22"/>
      <c r="F39" s="22"/>
      <c r="G39" s="22"/>
      <c r="H39" s="22"/>
    </row>
    <row r="40" spans="1:8" ht="12">
      <c r="A40" s="173" t="s">
        <v>121</v>
      </c>
      <c r="B40" s="174"/>
      <c r="C40" s="21" t="s">
        <v>122</v>
      </c>
      <c r="D40" s="255" t="s">
        <v>112</v>
      </c>
      <c r="E40" s="21" t="s">
        <v>123</v>
      </c>
      <c r="F40" s="162" t="str">
        <f>IF(shinsei_UKETUKE_NO="","",shinsei_UKETUKE_NO)</f>
        <v/>
      </c>
      <c r="G40" s="22"/>
      <c r="H40" s="22"/>
    </row>
    <row r="41" spans="1:8" ht="12">
      <c r="A41" s="175"/>
      <c r="B41" s="176"/>
      <c r="D41" s="37"/>
      <c r="F41" s="22"/>
      <c r="G41" s="22"/>
      <c r="H41" s="22"/>
    </row>
    <row r="42" spans="1:8" ht="12">
      <c r="A42" s="177" t="s">
        <v>124</v>
      </c>
      <c r="B42" s="178"/>
      <c r="C42" s="21" t="s">
        <v>125</v>
      </c>
      <c r="D42" s="275" t="s">
        <v>112</v>
      </c>
      <c r="E42" s="21" t="s">
        <v>126</v>
      </c>
      <c r="F42" s="275" t="str">
        <f>IF(shinsei_HIKIUKE_DATE="","",shinsei_HIKIUKE_DATE)</f>
        <v/>
      </c>
      <c r="G42" s="22"/>
      <c r="H42" s="22"/>
    </row>
    <row r="43" spans="1:8" ht="12">
      <c r="A43" s="179"/>
      <c r="B43" s="180"/>
      <c r="D43" s="103"/>
      <c r="F43" s="22"/>
      <c r="G43" s="22"/>
      <c r="H43" s="22"/>
    </row>
    <row r="44" spans="1:8" ht="12">
      <c r="A44" s="181" t="s">
        <v>106</v>
      </c>
      <c r="B44" s="182"/>
      <c r="C44" s="21" t="s">
        <v>127</v>
      </c>
      <c r="D44" s="255" t="s">
        <v>112</v>
      </c>
      <c r="E44" s="21" t="s">
        <v>128</v>
      </c>
      <c r="F44" s="162" t="str">
        <f>IF(shinsei_ISSUE_NO="","",shinsei_ISSUE_NO)</f>
        <v/>
      </c>
      <c r="G44" s="22"/>
      <c r="H44" s="22"/>
    </row>
    <row r="45" spans="1:8" ht="12">
      <c r="A45" s="245"/>
      <c r="B45" s="182"/>
      <c r="D45" s="37"/>
      <c r="E45" s="21" t="s">
        <v>129</v>
      </c>
      <c r="F45" s="162" t="str">
        <f>IF(shinsei_ISSUE_NO="","","第"&amp;shinsei_ISSUE_NO&amp;"号")</f>
        <v/>
      </c>
      <c r="G45" s="22"/>
      <c r="H45" s="22"/>
    </row>
    <row r="46" spans="1:8" ht="12">
      <c r="A46" s="252" t="s">
        <v>106</v>
      </c>
      <c r="B46" s="253"/>
      <c r="C46" s="21" t="s">
        <v>130</v>
      </c>
      <c r="D46" s="257" t="s">
        <v>131</v>
      </c>
      <c r="E46" s="21" t="s">
        <v>132</v>
      </c>
      <c r="F46" s="162" t="str">
        <f>IF(shinsei_KAKU_SUMI_NO="","",shinsei_KAKU_SUMI_NO)</f>
        <v>R05確認建築IPEC70003</v>
      </c>
      <c r="G46" s="22"/>
      <c r="H46" s="22"/>
    </row>
    <row r="47" spans="1:8" ht="12">
      <c r="A47" s="177" t="s">
        <v>133</v>
      </c>
      <c r="B47" s="178"/>
      <c r="G47" s="22"/>
      <c r="H47" s="22"/>
    </row>
    <row r="48" spans="1:8" ht="12">
      <c r="A48" s="183"/>
      <c r="B48" s="184" t="s">
        <v>134</v>
      </c>
      <c r="C48" s="21" t="s">
        <v>135</v>
      </c>
      <c r="D48" s="275" t="s">
        <v>112</v>
      </c>
      <c r="E48" s="21" t="s">
        <v>136</v>
      </c>
      <c r="F48" s="275" t="str">
        <f>IF(shinsei_ISSUE_DATE="","",shinsei_ISSUE_DATE)</f>
        <v/>
      </c>
      <c r="G48" s="22"/>
      <c r="H48" s="22"/>
    </row>
    <row r="49" spans="1:8" ht="12">
      <c r="A49" s="185"/>
      <c r="B49" s="186"/>
      <c r="D49" s="103"/>
      <c r="G49" s="22"/>
      <c r="H49" s="22"/>
    </row>
    <row r="50" spans="1:8" ht="12">
      <c r="A50" s="181" t="s">
        <v>137</v>
      </c>
      <c r="B50" s="182"/>
      <c r="C50" s="22" t="s">
        <v>138</v>
      </c>
      <c r="D50" s="162" t="s">
        <v>112</v>
      </c>
      <c r="E50" s="21" t="s">
        <v>139</v>
      </c>
      <c r="F50" s="47" t="str">
        <f>IF(shinsei_ISSUE_KOUFU_NAME="","",shinsei_ISSUE_KOUFU_NAME)</f>
        <v/>
      </c>
    </row>
    <row r="51" spans="1:8" ht="12">
      <c r="A51" s="181"/>
      <c r="B51" s="182"/>
      <c r="D51" s="103"/>
      <c r="G51" s="22"/>
      <c r="H51" s="22"/>
    </row>
    <row r="52" spans="1:8" ht="12">
      <c r="A52" s="231" t="s">
        <v>140</v>
      </c>
      <c r="B52" s="232"/>
      <c r="D52" s="22"/>
      <c r="F52" s="22"/>
      <c r="G52" s="22"/>
      <c r="H52" s="22"/>
    </row>
    <row r="53" spans="1:8" ht="12">
      <c r="A53" s="233"/>
      <c r="B53" s="234" t="s">
        <v>141</v>
      </c>
      <c r="C53" s="21" t="s">
        <v>142</v>
      </c>
      <c r="D53" s="22" t="s">
        <v>112</v>
      </c>
      <c r="E53" s="21" t="s">
        <v>143</v>
      </c>
      <c r="F53" s="22" t="str">
        <f>IF(shinsei_build_p6_01_PAGE6_KOUZOU_KEISAN_KIND__005=1,"■","□")</f>
        <v>□</v>
      </c>
      <c r="G53" s="22"/>
      <c r="H53" s="22"/>
    </row>
    <row r="54" spans="1:8" ht="12">
      <c r="A54" s="233"/>
      <c r="B54" s="234" t="s">
        <v>144</v>
      </c>
      <c r="C54" s="21" t="s">
        <v>145</v>
      </c>
      <c r="D54" s="22" t="s">
        <v>112</v>
      </c>
      <c r="E54" s="21" t="s">
        <v>146</v>
      </c>
      <c r="F54" s="22" t="str">
        <f>IF(shinsei_build_p6_01_PAGE6_KOUZOU_KEISAN_KIND__004=1,"■","□")</f>
        <v>□</v>
      </c>
      <c r="G54" s="22"/>
      <c r="H54" s="22"/>
    </row>
    <row r="55" spans="1:8" ht="12">
      <c r="A55" s="233"/>
      <c r="B55" s="234" t="s">
        <v>147</v>
      </c>
      <c r="C55" s="21" t="s">
        <v>148</v>
      </c>
      <c r="D55" s="22" t="s">
        <v>112</v>
      </c>
      <c r="E55" s="21" t="s">
        <v>149</v>
      </c>
      <c r="F55" s="22" t="str">
        <f>IF(shinsei_build_p6_01_PAGE6_KOUZOU_KEISAN_KIND__002=1,"■","□")</f>
        <v>□</v>
      </c>
      <c r="G55" s="22"/>
      <c r="H55" s="22"/>
    </row>
    <row r="56" spans="1:8" ht="12">
      <c r="A56" s="139" t="s">
        <v>150</v>
      </c>
      <c r="B56" s="140"/>
      <c r="C56" s="21" t="s">
        <v>151</v>
      </c>
      <c r="D56" s="162" t="s">
        <v>152</v>
      </c>
      <c r="E56" s="21" t="s">
        <v>153</v>
      </c>
      <c r="F56" s="162" t="str">
        <f>IF(wskakunin_KIKAN_NAME="","",wskakunin_KIKAN_NAME)</f>
        <v>株式会社I-PEC</v>
      </c>
      <c r="G56" s="22"/>
      <c r="H56" s="22"/>
    </row>
    <row r="57" spans="1:8" ht="12">
      <c r="A57" s="9" t="s">
        <v>154</v>
      </c>
      <c r="B57" s="143"/>
      <c r="G57" s="22"/>
      <c r="H57" s="22"/>
    </row>
    <row r="58" spans="1:8" ht="12">
      <c r="A58" s="16"/>
      <c r="B58" s="144" t="s">
        <v>154</v>
      </c>
      <c r="C58" s="21" t="s">
        <v>155</v>
      </c>
      <c r="D58" s="279">
        <v>45391</v>
      </c>
      <c r="E58" s="21" t="s">
        <v>156</v>
      </c>
      <c r="F58" s="279">
        <f>IF(wskakunin_SHINSEI_DATE="","",wskakunin_SHINSEI_DATE)</f>
        <v>45391</v>
      </c>
      <c r="H58" s="22"/>
    </row>
    <row r="59" spans="1:8" ht="12">
      <c r="A59" s="49" t="s">
        <v>157</v>
      </c>
      <c r="B59" s="52"/>
      <c r="G59" s="22"/>
      <c r="H59" s="22"/>
    </row>
    <row r="60" spans="1:8" ht="12">
      <c r="A60" s="86"/>
      <c r="B60" s="142" t="s">
        <v>106</v>
      </c>
      <c r="C60" s="21" t="s">
        <v>158</v>
      </c>
      <c r="D60" s="257" t="s">
        <v>131</v>
      </c>
      <c r="E60" s="21" t="s">
        <v>159</v>
      </c>
      <c r="F60" s="162" t="str">
        <f>IF(wskakunin_LAST_ISSUE_NO="","",wskakunin_LAST_ISSUE_NO)</f>
        <v>R05確認建築IPEC70003</v>
      </c>
      <c r="G60" s="22"/>
      <c r="H60" s="22"/>
    </row>
    <row r="61" spans="1:8" ht="12">
      <c r="A61" s="86"/>
      <c r="B61" s="142" t="s">
        <v>133</v>
      </c>
      <c r="C61" s="21" t="s">
        <v>160</v>
      </c>
      <c r="D61" s="275">
        <v>45363</v>
      </c>
      <c r="E61" s="21" t="s">
        <v>161</v>
      </c>
      <c r="F61" s="275">
        <f>IF(wskakunin_LAST_ISSUE_DATE="","",wskakunin_LAST_ISSUE_DATE)</f>
        <v>45363</v>
      </c>
      <c r="G61" s="22"/>
      <c r="H61" s="22"/>
    </row>
    <row r="62" spans="1:8" ht="12">
      <c r="A62" s="86"/>
      <c r="B62" s="248" t="s">
        <v>137</v>
      </c>
      <c r="C62" s="21" t="s">
        <v>162</v>
      </c>
      <c r="D62" s="257" t="s">
        <v>152</v>
      </c>
      <c r="E62" s="21" t="s">
        <v>163</v>
      </c>
      <c r="F62" s="162" t="str">
        <f>IF(wskakunin_LAST_ISSUE_NAME="","",wskakunin_LAST_ISSUE_NAME)</f>
        <v>株式会社I-PEC</v>
      </c>
      <c r="G62" s="22"/>
      <c r="H62" s="22"/>
    </row>
    <row r="63" spans="1:8" ht="12">
      <c r="A63" s="86"/>
      <c r="B63" s="142" t="s">
        <v>164</v>
      </c>
      <c r="C63" s="21" t="s">
        <v>165</v>
      </c>
      <c r="D63" s="257" t="s">
        <v>112</v>
      </c>
      <c r="E63" s="21" t="s">
        <v>166</v>
      </c>
      <c r="F63" s="162" t="str">
        <f>IF(wskakunin_P1_HENKOU_GAIYOU="","",wskakunin_P1_HENKOU_GAIYOU)</f>
        <v/>
      </c>
      <c r="G63" s="22"/>
      <c r="H63" s="22"/>
    </row>
    <row r="64" spans="1:8" ht="12">
      <c r="A64" s="141"/>
      <c r="B64" s="145"/>
      <c r="G64" s="22"/>
      <c r="H64" s="22"/>
    </row>
    <row r="65" spans="1:8" ht="12">
      <c r="A65" s="245" t="s">
        <v>167</v>
      </c>
      <c r="B65" s="182"/>
      <c r="D65" s="103"/>
      <c r="E65" s="21" t="s">
        <v>168</v>
      </c>
      <c r="F65" s="258" t="str">
        <f ca="1">IF(chk_JOB_KIND_kakunin=1,cst_shinsei_ISSUE_NO,cst_wskakunin_LAST_ISSUE_NO)</f>
        <v>R05確認建築IPEC70003</v>
      </c>
      <c r="G65" s="22"/>
      <c r="H65" s="22"/>
    </row>
    <row r="66" spans="1:8" ht="12">
      <c r="A66" s="245" t="s">
        <v>169</v>
      </c>
      <c r="B66" s="182"/>
      <c r="D66" s="103"/>
      <c r="F66" s="22"/>
      <c r="G66" s="22"/>
      <c r="H66" s="22"/>
    </row>
    <row r="67" spans="1:8" ht="13.5">
      <c r="A67" s="246" t="s">
        <v>170</v>
      </c>
      <c r="B67" s="247"/>
      <c r="D67" s="238"/>
      <c r="E67" s="21" t="s">
        <v>171</v>
      </c>
      <c r="F67" s="259" t="str">
        <f ca="1">IF(OR(cst_wsjob_JOB_KIND=101,cst_wsjob_JOB_KIND=102),cst_shinsei_ISSUE_KOUFU_NAME,cst_wskakunin_LAST_ISSUE_NAME)</f>
        <v>株式会社I-PEC</v>
      </c>
      <c r="G67" s="22"/>
      <c r="H67" s="22"/>
    </row>
    <row r="68" spans="1:8" ht="13.5">
      <c r="A68" s="249" t="s">
        <v>172</v>
      </c>
      <c r="B68" s="250"/>
      <c r="D68" s="238"/>
      <c r="E68" s="21" t="s">
        <v>173</v>
      </c>
      <c r="F68" s="260">
        <f ca="1">IF(chk_JOB_KIND_kakunin=1,cst_shinsei_ISSUE_DATE,cst_wskakunin_LAST_ISSUE_DATE)</f>
        <v>45363</v>
      </c>
      <c r="G68" s="22"/>
      <c r="H68" s="22"/>
    </row>
    <row r="69" spans="1:8" ht="12">
      <c r="A69" s="236"/>
      <c r="B69" s="237"/>
      <c r="G69" s="22"/>
      <c r="H69" s="22"/>
    </row>
    <row r="70" spans="1:8" ht="12">
      <c r="A70" s="51" t="s">
        <v>164</v>
      </c>
      <c r="B70" s="52"/>
      <c r="C70" s="21" t="s">
        <v>174</v>
      </c>
      <c r="D70" s="47"/>
      <c r="E70" s="21" t="s">
        <v>175</v>
      </c>
      <c r="F70" s="47" t="str">
        <f>IF(wskakunin_PAGE1_ALTERATION_NOTE="","",wskakunin_PAGE1_ALTERATION_NOTE)</f>
        <v/>
      </c>
    </row>
    <row r="71" spans="1:8" ht="12">
      <c r="A71" s="54"/>
      <c r="B71" s="66"/>
    </row>
    <row r="72" spans="1:8" ht="12">
      <c r="A72" s="55" t="s">
        <v>176</v>
      </c>
      <c r="B72" s="119"/>
      <c r="G72" s="22"/>
      <c r="H72" s="22"/>
    </row>
    <row r="73" spans="1:8" ht="12">
      <c r="A73" s="115"/>
      <c r="B73" s="79" t="s">
        <v>177</v>
      </c>
      <c r="C73" s="21" t="s">
        <v>178</v>
      </c>
      <c r="D73" s="261" t="s">
        <v>179</v>
      </c>
      <c r="E73" s="21" t="s">
        <v>180</v>
      </c>
      <c r="F73" s="261" t="str">
        <f>IF(wskakunin_APPLICANT_NAME="","",wskakunin_APPLICANT_NAME)</f>
        <v>猫山　花子</v>
      </c>
      <c r="G73" s="22"/>
      <c r="H73" s="22"/>
    </row>
    <row r="74" spans="1:8" ht="12">
      <c r="A74" s="120"/>
      <c r="B74" s="117"/>
      <c r="G74" s="22"/>
      <c r="H74" s="22"/>
    </row>
    <row r="75" spans="1:8" ht="12">
      <c r="A75" s="49" t="s">
        <v>181</v>
      </c>
      <c r="B75" s="52"/>
      <c r="G75" s="22"/>
      <c r="H75" s="22"/>
    </row>
    <row r="76" spans="1:8" ht="12">
      <c r="A76" s="86"/>
      <c r="B76" s="80" t="s">
        <v>182</v>
      </c>
      <c r="C76" s="21" t="s">
        <v>183</v>
      </c>
      <c r="D76" s="162" t="s">
        <v>112</v>
      </c>
      <c r="E76" s="21" t="s">
        <v>184</v>
      </c>
      <c r="F76" s="162" t="str">
        <f>IF(wskakunin_owner1_JIMU_NAME="", "", wskakunin_owner1_JIMU_NAME)</f>
        <v/>
      </c>
      <c r="G76" s="22"/>
      <c r="H76" s="22"/>
    </row>
    <row r="77" spans="1:8" ht="12">
      <c r="A77" s="86"/>
      <c r="B77" s="80" t="s">
        <v>185</v>
      </c>
      <c r="C77" s="21" t="s">
        <v>186</v>
      </c>
      <c r="D77" s="162" t="s">
        <v>112</v>
      </c>
      <c r="E77" s="21" t="s">
        <v>187</v>
      </c>
      <c r="F77" s="162" t="str">
        <f>IF(wskakunin_owner1_JIMU_NAME_KANA="","",wskakunin_owner1_JIMU_NAME_KANA)</f>
        <v/>
      </c>
      <c r="G77" s="22"/>
      <c r="H77" s="22"/>
    </row>
    <row r="78" spans="1:8" ht="12">
      <c r="A78" s="86"/>
      <c r="B78" s="80" t="s">
        <v>188</v>
      </c>
      <c r="C78" s="21" t="s">
        <v>189</v>
      </c>
      <c r="D78" s="162" t="s">
        <v>112</v>
      </c>
      <c r="E78" s="21" t="s">
        <v>190</v>
      </c>
      <c r="F78" s="162" t="str">
        <f>IF(wskakunin_owner1_POST="", "", wskakunin_owner1_POST)</f>
        <v/>
      </c>
      <c r="G78" s="22"/>
      <c r="H78" s="22"/>
    </row>
    <row r="79" spans="1:8" ht="12">
      <c r="A79" s="86"/>
      <c r="B79" s="80" t="s">
        <v>191</v>
      </c>
      <c r="C79" s="21" t="s">
        <v>192</v>
      </c>
      <c r="D79" s="162" t="s">
        <v>112</v>
      </c>
      <c r="E79" s="21" t="s">
        <v>193</v>
      </c>
      <c r="F79" s="162" t="str">
        <f>IF(wskakunin_owner1_POST_KANA="","",wskakunin_owner1_POST_KANA)</f>
        <v/>
      </c>
      <c r="G79" s="22"/>
      <c r="H79" s="22"/>
    </row>
    <row r="80" spans="1:8" ht="12">
      <c r="A80" s="86"/>
      <c r="B80" s="80" t="s">
        <v>194</v>
      </c>
      <c r="C80" s="21" t="s">
        <v>195</v>
      </c>
      <c r="D80" s="162" t="s">
        <v>179</v>
      </c>
      <c r="E80" s="21" t="s">
        <v>196</v>
      </c>
      <c r="F80" s="162" t="str">
        <f>IF(wskakunin_owner1_NAME="", "", wskakunin_owner1_NAME)</f>
        <v>猫山　花子</v>
      </c>
      <c r="G80" s="22"/>
      <c r="H80" s="22"/>
    </row>
    <row r="81" spans="1:8" ht="12">
      <c r="A81" s="53"/>
      <c r="B81" s="80" t="s">
        <v>197</v>
      </c>
      <c r="C81" s="21" t="s">
        <v>198</v>
      </c>
      <c r="D81" s="162" t="s">
        <v>199</v>
      </c>
      <c r="E81" s="21" t="s">
        <v>200</v>
      </c>
      <c r="F81" s="162" t="str">
        <f>IF(wskakunin_owner1_NAME_KANA="","",wskakunin_owner1_NAME_KANA)</f>
        <v>ネコヤマ　ハナコ</v>
      </c>
      <c r="G81" s="22"/>
      <c r="H81" s="22"/>
    </row>
    <row r="82" spans="1:8" ht="12">
      <c r="A82" s="53"/>
      <c r="B82" s="118" t="s">
        <v>201</v>
      </c>
      <c r="D82" s="22"/>
      <c r="E82" s="21" t="s">
        <v>202</v>
      </c>
      <c r="F82" s="162" t="str">
        <f>IF(wskakunin_owner1_JIMU_NAME_KANA="",cst_wskakunin_owner1_NAME_KANA,IF(wskakunin_owner1_POST_KANA="",cst_wskakunin_owner1_NAME_KANA,cst_wskakunin_owner1_JIMU_NAME_KANA&amp;"　"&amp;cst_wskakunin_owner1_POST_KANA&amp;"　"&amp;cst_wskakunin_owner1_NAME_KANA))</f>
        <v>ネコヤマ　ハナコ</v>
      </c>
      <c r="G82" s="22"/>
      <c r="H82" s="22"/>
    </row>
    <row r="83" spans="1:8" ht="12">
      <c r="A83" s="242"/>
      <c r="B83" s="118" t="s">
        <v>203</v>
      </c>
      <c r="D83" s="22"/>
      <c r="E83" s="21" t="s">
        <v>204</v>
      </c>
      <c r="F83" s="162"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ネコヤマ　ハナコ</v>
      </c>
      <c r="G83" s="22"/>
      <c r="H83" s="22"/>
    </row>
    <row r="84" spans="1:8" ht="12">
      <c r="A84" s="53"/>
      <c r="B84" s="80" t="s">
        <v>205</v>
      </c>
      <c r="C84" s="21" t="s">
        <v>206</v>
      </c>
      <c r="D84" s="255" t="s">
        <v>207</v>
      </c>
      <c r="E84" s="21" t="s">
        <v>208</v>
      </c>
      <c r="F84" s="162" t="str">
        <f>IF(wskakunin_owner1_ZIP="", "", wskakunin_owner1_ZIP)</f>
        <v>567-0009</v>
      </c>
      <c r="G84" s="22"/>
      <c r="H84" s="22"/>
    </row>
    <row r="85" spans="1:8" ht="12">
      <c r="A85" s="242"/>
      <c r="B85" s="80"/>
      <c r="E85" s="21" t="s">
        <v>209</v>
      </c>
      <c r="F85" s="162" t="str">
        <f>IF(wskakunin_owner1_ZIP="","",LEFT(wskakunin_owner1_ZIP,3)&amp;RIGHT(wskakunin_owner1_ZIP,4))</f>
        <v>5670009</v>
      </c>
      <c r="G85" s="22"/>
      <c r="H85" s="22"/>
    </row>
    <row r="86" spans="1:8" ht="12">
      <c r="A86" s="53"/>
      <c r="B86" s="80" t="s">
        <v>210</v>
      </c>
      <c r="C86" s="21" t="s">
        <v>211</v>
      </c>
      <c r="D86" s="162" t="s">
        <v>212</v>
      </c>
      <c r="E86" s="21" t="s">
        <v>213</v>
      </c>
      <c r="F86" s="162" t="str">
        <f>IF(wskakunin_owner1__address="", "", wskakunin_owner1__address)</f>
        <v>大阪府茨木市山手台2-2-2</v>
      </c>
      <c r="G86" s="22"/>
      <c r="H86" s="22"/>
    </row>
    <row r="87" spans="1:8" ht="12">
      <c r="A87" s="53"/>
      <c r="B87" s="80" t="s">
        <v>214</v>
      </c>
      <c r="C87" s="21" t="s">
        <v>215</v>
      </c>
      <c r="D87" s="255" t="s">
        <v>216</v>
      </c>
      <c r="E87" s="21" t="s">
        <v>217</v>
      </c>
      <c r="F87" s="162" t="str">
        <f>IF(wskakunin_owner1_TEL="", "", wskakunin_owner1_TEL)</f>
        <v>なし</v>
      </c>
      <c r="G87" s="22"/>
      <c r="H87" s="22"/>
    </row>
    <row r="88" spans="1:8" ht="12">
      <c r="A88" s="242"/>
      <c r="B88" s="300"/>
      <c r="E88" s="21" t="s">
        <v>218</v>
      </c>
      <c r="F88" s="162" t="e">
        <f>IF(wskakunin_owner1_TEL="","（　　　　）　　　-","（"&amp;LEFT(cst_wskakunin_owner1_TEL,FIND("-",cst_wskakunin_owner1_TEL)-1)&amp;"）　"&amp;MID(cst_wskakunin_owner1_TEL,FIND("-",cst_wskakunin_owner1_TEL)+1,FIND("-",cst_wskakunin_owner1_TEL,FIND("-",cst_wskakunin_owner1_TEL)+1)-FIND("-",cst_wskakunin_owner1_TEL)-1)&amp;"-"&amp;RIGHT(cst_wskakunin_owner1_TEL,LEN(cst_wskakunin_owner1_TEL)-FIND("-",cst_wskakunin_owner1_TEL,FIND("-",cst_wskakunin_owner1_TEL)+1)))</f>
        <v>#VALUE!</v>
      </c>
      <c r="G88" s="22"/>
      <c r="H88" s="22"/>
    </row>
    <row r="89" spans="1:8" ht="12">
      <c r="A89" s="53"/>
      <c r="B89" s="77" t="s">
        <v>219</v>
      </c>
      <c r="D89" s="22"/>
      <c r="E89" s="21" t="s">
        <v>220</v>
      </c>
      <c r="F89" s="262" t="str">
        <f>IF(wskakunin_owner1_JIMU_NAME="",cst_wskakunin_owner1_NAME,IF(wskakunin_owner1_POST="",cst_wskakunin_owner1_NAME,cst_wskakunin_owner1_JIMU_NAME&amp;"　"&amp;cst_wskakunin_owner1_POST&amp;"　"&amp;cst_wskakunin_owner1_NAME))</f>
        <v>猫山　花子</v>
      </c>
      <c r="G89" s="60"/>
      <c r="H89" s="60"/>
    </row>
    <row r="90" spans="1:8" ht="12">
      <c r="A90" s="53"/>
      <c r="B90" s="77" t="s">
        <v>221</v>
      </c>
      <c r="D90" s="22"/>
      <c r="E90" s="21" t="s">
        <v>222</v>
      </c>
      <c r="F90" s="162" t="str">
        <f>IF(wskakunin_owner1_POST&amp;wskakunin_owner1_NAME="","",IF(wskakunin_owner1_POST="",wskakunin_owner1_NAME,wskakunin_owner1_POST&amp;"　"&amp;wskakunin_owner1_NAME))</f>
        <v>猫山　花子</v>
      </c>
      <c r="G90" s="22"/>
      <c r="H90" s="22"/>
    </row>
    <row r="91" spans="1:8" ht="30" customHeight="1">
      <c r="A91" s="53"/>
      <c r="B91" s="80" t="s">
        <v>223</v>
      </c>
      <c r="D91" s="22"/>
      <c r="E91" s="21" t="s">
        <v>224</v>
      </c>
      <c r="F91" s="262" t="str">
        <f>wskakunin_owner1_JIMU_NAME&amp;IF(wskakunin_owner1_JIMU_NAME="","",CHAR(10))&amp;cst_wskakunin_owner1__space2</f>
        <v>猫山　花子</v>
      </c>
      <c r="G91" s="60"/>
      <c r="H91" s="60"/>
    </row>
    <row r="92" spans="1:8" ht="30" customHeight="1">
      <c r="A92" s="242"/>
      <c r="B92" s="158" t="s">
        <v>225</v>
      </c>
      <c r="D92" s="22"/>
      <c r="E92" s="21" t="s">
        <v>226</v>
      </c>
      <c r="F92" s="262"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猫山　花子</v>
      </c>
      <c r="G92" s="60"/>
      <c r="H92" s="60"/>
    </row>
    <row r="93" spans="1:8" ht="12">
      <c r="A93" s="242"/>
      <c r="B93" s="158" t="s">
        <v>227</v>
      </c>
      <c r="D93" s="22"/>
      <c r="E93" s="21" t="s">
        <v>228</v>
      </c>
      <c r="F93" s="262" t="str">
        <f>IF(cst_wskakunin_owner1_JIMU_NAME="", cst_wskakunin_owner1_NAME, cst_wskakunin_owner1_JIMU_NAME)</f>
        <v>猫山　花子</v>
      </c>
      <c r="G93" s="60"/>
      <c r="H93" s="60"/>
    </row>
    <row r="94" spans="1:8" ht="12">
      <c r="A94" s="242"/>
      <c r="B94" s="158" t="s">
        <v>229</v>
      </c>
      <c r="D94" s="22"/>
      <c r="E94" s="21" t="s">
        <v>230</v>
      </c>
      <c r="F94" s="262" t="str">
        <f>IF(cst_wskakunin_owner1_JIMU_NAME="", "", cst_wskakunin_owner1__space2)</f>
        <v/>
      </c>
      <c r="G94" s="60"/>
      <c r="H94" s="60"/>
    </row>
    <row r="95" spans="1:8" ht="12">
      <c r="A95" s="54"/>
      <c r="B95" s="88"/>
      <c r="D95" s="22"/>
      <c r="G95" s="60"/>
      <c r="H95" s="60"/>
    </row>
    <row r="96" spans="1:8" ht="12">
      <c r="A96" s="49" t="s">
        <v>231</v>
      </c>
      <c r="B96" s="52"/>
      <c r="G96" s="22"/>
      <c r="H96" s="22"/>
    </row>
    <row r="97" spans="1:8" ht="12">
      <c r="A97" s="86"/>
      <c r="B97" s="131" t="s">
        <v>182</v>
      </c>
      <c r="C97" s="21" t="s">
        <v>232</v>
      </c>
      <c r="D97" s="162" t="s">
        <v>112</v>
      </c>
      <c r="E97" s="21" t="s">
        <v>233</v>
      </c>
      <c r="F97" s="162" t="str">
        <f>IF(wskakunin_owner2_JIMU_NAME="", "", wskakunin_owner2_JIMU_NAME)</f>
        <v/>
      </c>
      <c r="H97" s="22"/>
    </row>
    <row r="98" spans="1:8" ht="12">
      <c r="A98" s="86"/>
      <c r="B98" s="131" t="s">
        <v>185</v>
      </c>
      <c r="C98" s="21" t="s">
        <v>234</v>
      </c>
      <c r="D98" s="162" t="s">
        <v>112</v>
      </c>
      <c r="E98" s="21" t="s">
        <v>235</v>
      </c>
      <c r="F98" s="162" t="str">
        <f>IF(wskakunin_owner2_JIMU_NAME_KANA="","",wskakunin_owner2_JIMU_NAME_KANA)</f>
        <v/>
      </c>
      <c r="H98" s="22"/>
    </row>
    <row r="99" spans="1:8" ht="12">
      <c r="A99" s="86"/>
      <c r="B99" s="131" t="s">
        <v>188</v>
      </c>
      <c r="C99" s="21" t="s">
        <v>236</v>
      </c>
      <c r="D99" s="162" t="s">
        <v>112</v>
      </c>
      <c r="E99" s="21" t="s">
        <v>237</v>
      </c>
      <c r="F99" s="162" t="str">
        <f>IF(wskakunin_owner2_POST="", "", wskakunin_owner2_POST)</f>
        <v/>
      </c>
      <c r="H99" s="22"/>
    </row>
    <row r="100" spans="1:8" ht="12">
      <c r="A100" s="86"/>
      <c r="B100" s="131" t="s">
        <v>191</v>
      </c>
      <c r="C100" s="21" t="s">
        <v>238</v>
      </c>
      <c r="D100" s="162" t="s">
        <v>112</v>
      </c>
      <c r="E100" s="21" t="s">
        <v>239</v>
      </c>
      <c r="F100" s="162" t="str">
        <f>IF(wskakunin_owner2_POST_KANA="","",wskakunin_owner2_POST_KANA)</f>
        <v/>
      </c>
      <c r="H100" s="22"/>
    </row>
    <row r="101" spans="1:8" ht="12">
      <c r="A101" s="86"/>
      <c r="B101" s="131" t="s">
        <v>194</v>
      </c>
      <c r="C101" s="21" t="s">
        <v>240</v>
      </c>
      <c r="D101" s="162" t="s">
        <v>112</v>
      </c>
      <c r="E101" s="21" t="s">
        <v>241</v>
      </c>
      <c r="F101" s="162" t="str">
        <f>IF(wskakunin_owner2_NAME="", "", wskakunin_owner2_NAME)</f>
        <v/>
      </c>
      <c r="H101" s="22"/>
    </row>
    <row r="102" spans="1:8" ht="12">
      <c r="A102" s="53"/>
      <c r="B102" s="131" t="s">
        <v>197</v>
      </c>
      <c r="C102" s="21" t="s">
        <v>242</v>
      </c>
      <c r="D102" s="162" t="s">
        <v>112</v>
      </c>
      <c r="E102" s="21" t="s">
        <v>243</v>
      </c>
      <c r="F102" s="162" t="str">
        <f>IF(wskakunin_owner2_NAME_KANA="","",wskakunin_owner2_NAME_KANA)</f>
        <v/>
      </c>
      <c r="H102" s="22"/>
    </row>
    <row r="103" spans="1:8" ht="12">
      <c r="A103" s="53"/>
      <c r="B103" s="131" t="s">
        <v>205</v>
      </c>
      <c r="C103" s="21" t="s">
        <v>244</v>
      </c>
      <c r="D103" s="255" t="s">
        <v>112</v>
      </c>
      <c r="E103" s="21" t="s">
        <v>245</v>
      </c>
      <c r="F103" s="162" t="str">
        <f>IF(wskakunin_owner2_ZIP="", "", wskakunin_owner2_ZIP)</f>
        <v/>
      </c>
      <c r="H103" s="22"/>
    </row>
    <row r="104" spans="1:8" ht="12">
      <c r="A104" s="53"/>
      <c r="B104" s="131" t="s">
        <v>210</v>
      </c>
      <c r="C104" s="21" t="s">
        <v>246</v>
      </c>
      <c r="D104" s="162" t="s">
        <v>112</v>
      </c>
      <c r="E104" s="21" t="s">
        <v>247</v>
      </c>
      <c r="F104" s="162" t="str">
        <f>IF(wskakunin_owner2__address="", "", wskakunin_owner2__address)</f>
        <v/>
      </c>
      <c r="H104" s="22"/>
    </row>
    <row r="105" spans="1:8" ht="12">
      <c r="A105" s="53"/>
      <c r="B105" s="131" t="s">
        <v>214</v>
      </c>
      <c r="C105" s="21" t="s">
        <v>248</v>
      </c>
      <c r="D105" s="255" t="s">
        <v>112</v>
      </c>
      <c r="E105" s="21" t="s">
        <v>249</v>
      </c>
      <c r="F105" s="162" t="str">
        <f>IF(wskakunin_owner2_TEL="", "", wskakunin_owner2_TEL)</f>
        <v/>
      </c>
      <c r="H105" s="22"/>
    </row>
    <row r="106" spans="1:8" ht="12">
      <c r="A106" s="53"/>
      <c r="B106" s="77" t="s">
        <v>219</v>
      </c>
      <c r="E106" s="21" t="s">
        <v>250</v>
      </c>
      <c r="F106" s="162" t="str">
        <f>IF(wskakunin_owner2_JIMU_NAME="",cst_wskakunin_owner2_NAME,IF(wskakunin_owner2_POST="",cst_wskakunin_owner2_NAME,cst_wskakunin_owner2_JIMU_NAME&amp;"　"&amp;cst_wskakunin_owner2_POST&amp;"　"&amp;cst_wskakunin_owner2_NAME))</f>
        <v/>
      </c>
      <c r="H106" s="22"/>
    </row>
    <row r="107" spans="1:8" ht="13.5">
      <c r="A107" s="242"/>
      <c r="B107" s="243" t="s">
        <v>221</v>
      </c>
      <c r="D107" s="235"/>
      <c r="E107" s="21" t="s">
        <v>251</v>
      </c>
      <c r="F107" s="162" t="str">
        <f>IF(wskakunin_owner2_POST&amp;wskakunin_owner2_NAME="","",IF(wskakunin_owner2_POST="",wskakunin_owner2_NAME,wskakunin_owner2_POST&amp;"　"&amp;wskakunin_owner2_NAME))</f>
        <v/>
      </c>
      <c r="H107" s="22"/>
    </row>
    <row r="108" spans="1:8" ht="24">
      <c r="A108" s="242"/>
      <c r="B108" s="244" t="s">
        <v>223</v>
      </c>
      <c r="D108" s="235"/>
      <c r="E108" s="21" t="s">
        <v>252</v>
      </c>
      <c r="F108" s="262" t="str">
        <f>wskakunin_owner2_JIMU_NAME&amp;IF(wskakunin_owner2_JIMU_NAME="","",CHAR(10))&amp;cst_wskakunin_owner2__space2</f>
        <v/>
      </c>
      <c r="H108" s="22"/>
    </row>
    <row r="109" spans="1:8" ht="12">
      <c r="A109" s="53"/>
      <c r="B109" s="161"/>
      <c r="D109" s="37"/>
      <c r="F109" s="22"/>
      <c r="H109" s="22"/>
    </row>
    <row r="110" spans="1:8" ht="12">
      <c r="A110" s="49" t="s">
        <v>253</v>
      </c>
      <c r="B110" s="52"/>
      <c r="H110" s="22"/>
    </row>
    <row r="111" spans="1:8" ht="12">
      <c r="A111" s="86"/>
      <c r="B111" s="131" t="s">
        <v>182</v>
      </c>
      <c r="C111" s="21" t="s">
        <v>254</v>
      </c>
      <c r="D111" s="162" t="s">
        <v>112</v>
      </c>
      <c r="E111" s="21" t="s">
        <v>255</v>
      </c>
      <c r="F111" s="162" t="str">
        <f>IF(wskakunin_owner3_JIMU_NAME="", "", wskakunin_owner3_JIMU_NAME)</f>
        <v/>
      </c>
      <c r="H111" s="22"/>
    </row>
    <row r="112" spans="1:8" ht="12">
      <c r="A112" s="86"/>
      <c r="B112" s="131" t="s">
        <v>185</v>
      </c>
      <c r="C112" s="21" t="s">
        <v>256</v>
      </c>
      <c r="D112" s="162" t="s">
        <v>112</v>
      </c>
      <c r="E112" s="21" t="s">
        <v>257</v>
      </c>
      <c r="F112" s="162" t="str">
        <f>IF(wskakunin_owner3_JIMU_NAME_KANA="","",wskakunin_owner3_JIMU_NAME_KANA)</f>
        <v/>
      </c>
      <c r="H112" s="22"/>
    </row>
    <row r="113" spans="1:8" ht="12">
      <c r="A113" s="86"/>
      <c r="B113" s="131" t="s">
        <v>188</v>
      </c>
      <c r="C113" s="21" t="s">
        <v>258</v>
      </c>
      <c r="D113" s="162" t="s">
        <v>112</v>
      </c>
      <c r="E113" s="21" t="s">
        <v>259</v>
      </c>
      <c r="F113" s="162" t="str">
        <f>IF(wskakunin_owner3_POST="", "", wskakunin_owner3_POST)</f>
        <v/>
      </c>
      <c r="H113" s="22"/>
    </row>
    <row r="114" spans="1:8" ht="12">
      <c r="A114" s="86"/>
      <c r="B114" s="131" t="s">
        <v>191</v>
      </c>
      <c r="C114" s="21" t="s">
        <v>260</v>
      </c>
      <c r="D114" s="162" t="s">
        <v>112</v>
      </c>
      <c r="E114" s="21" t="s">
        <v>261</v>
      </c>
      <c r="F114" s="162" t="str">
        <f>IF(wskakunin_owner3_POST_KANA="","",wskakunin_owner3_POST_KANA)</f>
        <v/>
      </c>
      <c r="H114" s="22"/>
    </row>
    <row r="115" spans="1:8" ht="12">
      <c r="A115" s="86"/>
      <c r="B115" s="131" t="s">
        <v>194</v>
      </c>
      <c r="C115" s="21" t="s">
        <v>262</v>
      </c>
      <c r="D115" s="162" t="s">
        <v>112</v>
      </c>
      <c r="E115" s="21" t="s">
        <v>263</v>
      </c>
      <c r="F115" s="162" t="str">
        <f>IF(wskakunin_owner3_NAME="", "", wskakunin_owner3_NAME)</f>
        <v/>
      </c>
      <c r="H115" s="22"/>
    </row>
    <row r="116" spans="1:8" ht="12">
      <c r="A116" s="53"/>
      <c r="B116" s="131" t="s">
        <v>197</v>
      </c>
      <c r="C116" s="21" t="s">
        <v>264</v>
      </c>
      <c r="D116" s="162" t="s">
        <v>112</v>
      </c>
      <c r="E116" s="21" t="s">
        <v>265</v>
      </c>
      <c r="F116" s="162" t="str">
        <f>IF(wskakunin_owner3_NAME_KANA="","",wskakunin_owner3_NAME_KANA)</f>
        <v/>
      </c>
      <c r="H116" s="22"/>
    </row>
    <row r="117" spans="1:8" ht="12">
      <c r="A117" s="53"/>
      <c r="B117" s="131" t="s">
        <v>205</v>
      </c>
      <c r="C117" s="21" t="s">
        <v>266</v>
      </c>
      <c r="D117" s="255" t="s">
        <v>112</v>
      </c>
      <c r="E117" s="21" t="s">
        <v>267</v>
      </c>
      <c r="F117" s="162" t="str">
        <f>IF(wskakunin_owner3_ZIP="", "", wskakunin_owner3_ZIP)</f>
        <v/>
      </c>
      <c r="H117" s="22"/>
    </row>
    <row r="118" spans="1:8" ht="12">
      <c r="A118" s="53"/>
      <c r="B118" s="131" t="s">
        <v>210</v>
      </c>
      <c r="C118" s="21" t="s">
        <v>268</v>
      </c>
      <c r="D118" s="162" t="s">
        <v>112</v>
      </c>
      <c r="E118" s="21" t="s">
        <v>269</v>
      </c>
      <c r="F118" s="162" t="str">
        <f>IF(wskakunin_owner3__address="", "", wskakunin_owner3__address)</f>
        <v/>
      </c>
      <c r="H118" s="22"/>
    </row>
    <row r="119" spans="1:8" ht="12">
      <c r="A119" s="53"/>
      <c r="B119" s="131" t="s">
        <v>214</v>
      </c>
      <c r="C119" s="21" t="s">
        <v>270</v>
      </c>
      <c r="D119" s="255" t="s">
        <v>112</v>
      </c>
      <c r="E119" s="21" t="s">
        <v>271</v>
      </c>
      <c r="F119" s="162" t="str">
        <f>IF(wskakunin_owner3_TEL="", "", wskakunin_owner3_TEL)</f>
        <v/>
      </c>
      <c r="H119" s="22"/>
    </row>
    <row r="120" spans="1:8" ht="12">
      <c r="A120" s="53"/>
      <c r="B120" s="77" t="s">
        <v>219</v>
      </c>
      <c r="E120" s="21" t="s">
        <v>272</v>
      </c>
      <c r="F120" s="162" t="str">
        <f>IF(wskakunin_owner3_JIMU_NAME="",cst_wskakunin_owner3_NAME,IF(wskakunin_owner3_POST="",cst_wskakunin_owner3_NAME,cst_wskakunin_owner3_JIMU_NAME&amp;"　"&amp;cst_wskakunin_owner3_POST&amp;"　"&amp;cst_wskakunin_owner3_NAME))</f>
        <v/>
      </c>
      <c r="H120" s="22"/>
    </row>
    <row r="121" spans="1:8" ht="12">
      <c r="A121" s="242"/>
      <c r="B121" s="298"/>
      <c r="E121" s="21" t="s">
        <v>273</v>
      </c>
      <c r="F121" s="162" t="str">
        <f>IF(wskakunin_owner3_POST&amp;wskakunin_owner3_NAME="","",IF(wskakunin_owner3_POST="",wskakunin_owner3_NAME,wskakunin_owner3_POST&amp;"　"&amp;wskakunin_owner3_NAME))</f>
        <v/>
      </c>
      <c r="H121" s="22"/>
    </row>
    <row r="122" spans="1:8" ht="12">
      <c r="A122" s="53"/>
      <c r="B122" s="161"/>
      <c r="D122" s="37"/>
      <c r="F122" s="22"/>
      <c r="H122" s="22"/>
    </row>
    <row r="123" spans="1:8" ht="12">
      <c r="A123" s="49" t="s">
        <v>274</v>
      </c>
      <c r="B123" s="52"/>
      <c r="H123" s="22"/>
    </row>
    <row r="124" spans="1:8" ht="12">
      <c r="A124" s="86"/>
      <c r="B124" s="131" t="s">
        <v>182</v>
      </c>
      <c r="C124" s="21" t="s">
        <v>275</v>
      </c>
      <c r="D124" s="162" t="s">
        <v>112</v>
      </c>
      <c r="E124" s="21" t="s">
        <v>276</v>
      </c>
      <c r="F124" s="162" t="str">
        <f>IF(wskakunin_owner4_JIMU_NAME="", "", wskakunin_owner4_JIMU_NAME)</f>
        <v/>
      </c>
      <c r="H124" s="22"/>
    </row>
    <row r="125" spans="1:8" ht="12">
      <c r="A125" s="86"/>
      <c r="B125" s="131" t="s">
        <v>185</v>
      </c>
      <c r="C125" s="21" t="s">
        <v>277</v>
      </c>
      <c r="D125" s="162" t="s">
        <v>112</v>
      </c>
      <c r="E125" s="21" t="s">
        <v>278</v>
      </c>
      <c r="F125" s="162" t="str">
        <f>IF(wskakunin_owner4_JIMU_NAME_KANA="","",wskakunin_owner4_JIMU_NAME_KANA)</f>
        <v/>
      </c>
      <c r="H125" s="22"/>
    </row>
    <row r="126" spans="1:8" ht="12">
      <c r="A126" s="86"/>
      <c r="B126" s="131" t="s">
        <v>188</v>
      </c>
      <c r="C126" s="21" t="s">
        <v>279</v>
      </c>
      <c r="D126" s="162" t="s">
        <v>112</v>
      </c>
      <c r="E126" s="21" t="s">
        <v>280</v>
      </c>
      <c r="F126" s="162" t="str">
        <f>IF(wskakunin_owner4_POST="", "", wskakunin_owner4_POST)</f>
        <v/>
      </c>
      <c r="H126" s="22"/>
    </row>
    <row r="127" spans="1:8" ht="12">
      <c r="A127" s="86"/>
      <c r="B127" s="131" t="s">
        <v>191</v>
      </c>
      <c r="C127" s="21" t="s">
        <v>281</v>
      </c>
      <c r="D127" s="162" t="s">
        <v>112</v>
      </c>
      <c r="E127" s="21" t="s">
        <v>282</v>
      </c>
      <c r="F127" s="162" t="str">
        <f>IF(wskakunin_owner4_POST_KANA="","",wskakunin_owner4_POST_KANA)</f>
        <v/>
      </c>
      <c r="H127" s="22"/>
    </row>
    <row r="128" spans="1:8" ht="12">
      <c r="A128" s="86"/>
      <c r="B128" s="131" t="s">
        <v>194</v>
      </c>
      <c r="C128" s="21" t="s">
        <v>283</v>
      </c>
      <c r="D128" s="162" t="s">
        <v>112</v>
      </c>
      <c r="E128" s="21" t="s">
        <v>284</v>
      </c>
      <c r="F128" s="162" t="str">
        <f>IF(wskakunin_owner4_NAME="", "", wskakunin_owner4_NAME)</f>
        <v/>
      </c>
      <c r="H128" s="22"/>
    </row>
    <row r="129" spans="1:8" ht="12">
      <c r="A129" s="53"/>
      <c r="B129" s="131" t="s">
        <v>197</v>
      </c>
      <c r="C129" s="21" t="s">
        <v>285</v>
      </c>
      <c r="D129" s="162" t="s">
        <v>112</v>
      </c>
      <c r="E129" s="21" t="s">
        <v>286</v>
      </c>
      <c r="F129" s="162" t="str">
        <f>IF(wskakunin_owner4_NAME_KANA="","",wskakunin_owner4_NAME_KANA)</f>
        <v/>
      </c>
      <c r="H129" s="22"/>
    </row>
    <row r="130" spans="1:8" ht="12">
      <c r="A130" s="53"/>
      <c r="B130" s="131" t="s">
        <v>205</v>
      </c>
      <c r="C130" s="21" t="s">
        <v>287</v>
      </c>
      <c r="D130" s="255" t="s">
        <v>112</v>
      </c>
      <c r="E130" s="21" t="s">
        <v>288</v>
      </c>
      <c r="F130" s="162" t="str">
        <f>IF(wskakunin_owner4_ZIP="", "", wskakunin_owner4_ZIP)</f>
        <v/>
      </c>
      <c r="H130" s="22"/>
    </row>
    <row r="131" spans="1:8" ht="12">
      <c r="A131" s="53"/>
      <c r="B131" s="131" t="s">
        <v>210</v>
      </c>
      <c r="C131" s="21" t="s">
        <v>289</v>
      </c>
      <c r="D131" s="162" t="s">
        <v>112</v>
      </c>
      <c r="E131" s="21" t="s">
        <v>290</v>
      </c>
      <c r="F131" s="162" t="str">
        <f>IF(wskakunin_owner4__address="", "", wskakunin_owner4__address)</f>
        <v/>
      </c>
      <c r="H131" s="22"/>
    </row>
    <row r="132" spans="1:8" ht="12">
      <c r="A132" s="53"/>
      <c r="B132" s="131" t="s">
        <v>214</v>
      </c>
      <c r="C132" s="21" t="s">
        <v>291</v>
      </c>
      <c r="D132" s="255" t="s">
        <v>112</v>
      </c>
      <c r="E132" s="21" t="s">
        <v>292</v>
      </c>
      <c r="F132" s="162" t="str">
        <f>IF(wskakunin_owner4_TEL="", "", wskakunin_owner4_TEL)</f>
        <v/>
      </c>
      <c r="H132" s="22"/>
    </row>
    <row r="133" spans="1:8" ht="12">
      <c r="A133" s="53"/>
      <c r="B133" s="77" t="s">
        <v>219</v>
      </c>
      <c r="D133" s="37"/>
      <c r="E133" s="21" t="s">
        <v>293</v>
      </c>
      <c r="F133" s="162" t="str">
        <f>IF(wskakunin_owner4_JIMU_NAME="",cst_wskakunin_owner4_NAME,IF(wskakunin_owner4_POST="",cst_wskakunin_owner4_NAME,cst_wskakunin_owner4_JIMU_NAME&amp;"　"&amp;cst_wskakunin_owner4_POST&amp;"　"&amp;cst_wskakunin_owner4_NAME))</f>
        <v/>
      </c>
      <c r="H133" s="22"/>
    </row>
    <row r="134" spans="1:8" ht="12">
      <c r="A134" s="53"/>
      <c r="B134" s="161"/>
      <c r="D134" s="37"/>
      <c r="F134" s="22"/>
      <c r="H134" s="22"/>
    </row>
    <row r="135" spans="1:8" ht="12">
      <c r="A135" s="49" t="s">
        <v>294</v>
      </c>
      <c r="B135" s="52"/>
      <c r="H135" s="22"/>
    </row>
    <row r="136" spans="1:8" ht="12">
      <c r="A136" s="86"/>
      <c r="B136" s="131" t="s">
        <v>182</v>
      </c>
      <c r="C136" s="21" t="s">
        <v>295</v>
      </c>
      <c r="D136" s="162" t="s">
        <v>112</v>
      </c>
      <c r="E136" s="21" t="s">
        <v>296</v>
      </c>
      <c r="F136" s="162" t="str">
        <f>IF(wskakunin_owner5_JIMU_NAME="", "", wskakunin_owner5_JIMU_NAME)</f>
        <v/>
      </c>
      <c r="H136" s="22"/>
    </row>
    <row r="137" spans="1:8" ht="12">
      <c r="A137" s="86"/>
      <c r="B137" s="131" t="s">
        <v>185</v>
      </c>
      <c r="C137" s="21" t="s">
        <v>297</v>
      </c>
      <c r="D137" s="162" t="s">
        <v>112</v>
      </c>
      <c r="E137" s="21" t="s">
        <v>298</v>
      </c>
      <c r="F137" s="162" t="str">
        <f>IF(wskakunin_owner5_JIMU_NAME_KANA="","",wskakunin_owner5_JIMU_NAME_KANA)</f>
        <v/>
      </c>
      <c r="H137" s="22"/>
    </row>
    <row r="138" spans="1:8" ht="12">
      <c r="A138" s="86"/>
      <c r="B138" s="131" t="s">
        <v>188</v>
      </c>
      <c r="C138" s="21" t="s">
        <v>299</v>
      </c>
      <c r="D138" s="162" t="s">
        <v>112</v>
      </c>
      <c r="E138" s="21" t="s">
        <v>300</v>
      </c>
      <c r="F138" s="162" t="str">
        <f>IF(wskakunin_owner5_POST="", "", wskakunin_owner5_POST)</f>
        <v/>
      </c>
      <c r="H138" s="22"/>
    </row>
    <row r="139" spans="1:8" ht="12">
      <c r="A139" s="86"/>
      <c r="B139" s="131" t="s">
        <v>191</v>
      </c>
      <c r="C139" s="21" t="s">
        <v>301</v>
      </c>
      <c r="D139" s="162" t="s">
        <v>112</v>
      </c>
      <c r="E139" s="21" t="s">
        <v>302</v>
      </c>
      <c r="F139" s="162" t="str">
        <f>IF(wskakunin_owner5_POST_KANA="","",wskakunin_owner5_POST_KANA)</f>
        <v/>
      </c>
      <c r="H139" s="22"/>
    </row>
    <row r="140" spans="1:8" ht="12">
      <c r="A140" s="86"/>
      <c r="B140" s="131" t="s">
        <v>194</v>
      </c>
      <c r="C140" s="21" t="s">
        <v>303</v>
      </c>
      <c r="D140" s="162" t="s">
        <v>112</v>
      </c>
      <c r="E140" s="21" t="s">
        <v>304</v>
      </c>
      <c r="F140" s="162" t="str">
        <f>IF(wskakunin_owner5_NAME="", "", wskakunin_owner5_NAME)</f>
        <v/>
      </c>
      <c r="H140" s="22"/>
    </row>
    <row r="141" spans="1:8" ht="12">
      <c r="A141" s="53"/>
      <c r="B141" s="131" t="s">
        <v>197</v>
      </c>
      <c r="C141" s="21" t="s">
        <v>305</v>
      </c>
      <c r="D141" s="162" t="s">
        <v>112</v>
      </c>
      <c r="E141" s="21" t="s">
        <v>306</v>
      </c>
      <c r="F141" s="162" t="str">
        <f>IF(wskakunin_owner5_NAME_KANA="","",wskakunin_owner5_NAME_KANA)</f>
        <v/>
      </c>
      <c r="H141" s="22"/>
    </row>
    <row r="142" spans="1:8" ht="12">
      <c r="A142" s="53"/>
      <c r="B142" s="131" t="s">
        <v>205</v>
      </c>
      <c r="C142" s="21" t="s">
        <v>307</v>
      </c>
      <c r="D142" s="255" t="s">
        <v>112</v>
      </c>
      <c r="E142" s="21" t="s">
        <v>308</v>
      </c>
      <c r="F142" s="162" t="str">
        <f>IF(wskakunin_owner5_ZIP="", "", wskakunin_owner5_ZIP)</f>
        <v/>
      </c>
      <c r="H142" s="22"/>
    </row>
    <row r="143" spans="1:8" ht="12">
      <c r="A143" s="53"/>
      <c r="B143" s="131" t="s">
        <v>210</v>
      </c>
      <c r="C143" s="21" t="s">
        <v>309</v>
      </c>
      <c r="D143" s="162" t="s">
        <v>112</v>
      </c>
      <c r="E143" s="21" t="s">
        <v>310</v>
      </c>
      <c r="F143" s="162" t="str">
        <f>IF(wskakunin_owner5__address="", "", wskakunin_owner5__address)</f>
        <v/>
      </c>
      <c r="H143" s="22"/>
    </row>
    <row r="144" spans="1:8" ht="12">
      <c r="A144" s="53"/>
      <c r="B144" s="131" t="s">
        <v>214</v>
      </c>
      <c r="C144" s="21" t="s">
        <v>311</v>
      </c>
      <c r="D144" s="255" t="s">
        <v>112</v>
      </c>
      <c r="E144" s="21" t="s">
        <v>312</v>
      </c>
      <c r="F144" s="162" t="str">
        <f>IF(wskakunin_owner5_TEL="", "", wskakunin_owner5_TEL)</f>
        <v/>
      </c>
      <c r="H144" s="22"/>
    </row>
    <row r="145" spans="1:8" ht="12">
      <c r="A145" s="53"/>
      <c r="B145" s="77" t="s">
        <v>219</v>
      </c>
      <c r="D145" s="37"/>
      <c r="E145" s="21" t="s">
        <v>313</v>
      </c>
      <c r="F145" s="162" t="str">
        <f>IF(wskakunin_owner5_JIMU_NAME="",cst_wskakunin_owner5_NAME,IF(wskakunin_owner5_POST="",cst_wskakunin_owner5_NAME,cst_wskakunin_owner5_JIMU_NAME&amp;"　"&amp;cst_wskakunin_owner5_POST&amp;"　"&amp;cst_wskakunin_owner5_NAME))</f>
        <v/>
      </c>
      <c r="H145" s="22"/>
    </row>
    <row r="146" spans="1:8" ht="12">
      <c r="A146" s="53"/>
      <c r="B146" s="161"/>
      <c r="D146" s="37"/>
      <c r="F146" s="22"/>
      <c r="H146" s="22"/>
    </row>
    <row r="147" spans="1:8" ht="12">
      <c r="A147" s="49" t="s">
        <v>314</v>
      </c>
      <c r="B147" s="52"/>
      <c r="H147" s="22"/>
    </row>
    <row r="148" spans="1:8" ht="12">
      <c r="A148" s="86"/>
      <c r="B148" s="131" t="s">
        <v>182</v>
      </c>
      <c r="C148" s="21" t="s">
        <v>315</v>
      </c>
      <c r="D148" s="162" t="s">
        <v>112</v>
      </c>
      <c r="E148" s="21" t="s">
        <v>316</v>
      </c>
      <c r="F148" s="162" t="str">
        <f>IF(wskakunin_owner6_JIMU_NAME="", "", wskakunin_owner6_JIMU_NAME)</f>
        <v/>
      </c>
      <c r="H148" s="22"/>
    </row>
    <row r="149" spans="1:8" ht="12">
      <c r="A149" s="86"/>
      <c r="B149" s="131" t="s">
        <v>185</v>
      </c>
      <c r="C149" s="21" t="s">
        <v>317</v>
      </c>
      <c r="D149" s="162" t="s">
        <v>112</v>
      </c>
      <c r="E149" s="21" t="s">
        <v>318</v>
      </c>
      <c r="F149" s="162" t="str">
        <f>IF(wskakunin_owner6_JIMU_NAME_KANA="","",wskakunin_owner6_JIMU_NAME_KANA)</f>
        <v/>
      </c>
      <c r="H149" s="22"/>
    </row>
    <row r="150" spans="1:8" ht="12">
      <c r="A150" s="86"/>
      <c r="B150" s="131" t="s">
        <v>188</v>
      </c>
      <c r="C150" s="21" t="s">
        <v>319</v>
      </c>
      <c r="D150" s="162" t="s">
        <v>112</v>
      </c>
      <c r="E150" s="21" t="s">
        <v>320</v>
      </c>
      <c r="F150" s="162" t="str">
        <f>IF(wskakunin_owner6_POST="", "", wskakunin_owner6_POST)</f>
        <v/>
      </c>
      <c r="H150" s="22"/>
    </row>
    <row r="151" spans="1:8" ht="12">
      <c r="A151" s="86"/>
      <c r="B151" s="131" t="s">
        <v>191</v>
      </c>
      <c r="C151" s="21" t="s">
        <v>321</v>
      </c>
      <c r="D151" s="162" t="s">
        <v>112</v>
      </c>
      <c r="E151" s="21" t="s">
        <v>322</v>
      </c>
      <c r="F151" s="162" t="str">
        <f>IF(wskakunin_owner6_POST_KANA="","",wskakunin_owner6_POST_KANA)</f>
        <v/>
      </c>
      <c r="H151" s="22"/>
    </row>
    <row r="152" spans="1:8" ht="12">
      <c r="A152" s="86"/>
      <c r="B152" s="131" t="s">
        <v>194</v>
      </c>
      <c r="C152" s="21" t="s">
        <v>323</v>
      </c>
      <c r="D152" s="162" t="s">
        <v>112</v>
      </c>
      <c r="E152" s="21" t="s">
        <v>324</v>
      </c>
      <c r="F152" s="162" t="str">
        <f>IF(wskakunin_owner6_NAME="", "", wskakunin_owner6_NAME)</f>
        <v/>
      </c>
      <c r="H152" s="22"/>
    </row>
    <row r="153" spans="1:8" ht="12">
      <c r="A153" s="53"/>
      <c r="B153" s="131" t="s">
        <v>197</v>
      </c>
      <c r="C153" s="21" t="s">
        <v>325</v>
      </c>
      <c r="D153" s="162" t="s">
        <v>112</v>
      </c>
      <c r="E153" s="21" t="s">
        <v>326</v>
      </c>
      <c r="F153" s="162" t="str">
        <f>IF(wskakunin_owner6_NAME_KANA="","",wskakunin_owner6_NAME_KANA)</f>
        <v/>
      </c>
      <c r="H153" s="22"/>
    </row>
    <row r="154" spans="1:8" ht="12">
      <c r="A154" s="53"/>
      <c r="B154" s="131" t="s">
        <v>205</v>
      </c>
      <c r="C154" s="21" t="s">
        <v>327</v>
      </c>
      <c r="D154" s="255" t="s">
        <v>112</v>
      </c>
      <c r="E154" s="21" t="s">
        <v>328</v>
      </c>
      <c r="F154" s="162" t="str">
        <f>IF(wskakunin_owner6_ZIP="", "", wskakunin_owner6_ZIP)</f>
        <v/>
      </c>
      <c r="H154" s="22"/>
    </row>
    <row r="155" spans="1:8" ht="12">
      <c r="A155" s="53"/>
      <c r="B155" s="131" t="s">
        <v>210</v>
      </c>
      <c r="C155" s="21" t="s">
        <v>329</v>
      </c>
      <c r="D155" s="162" t="s">
        <v>112</v>
      </c>
      <c r="E155" s="21" t="s">
        <v>330</v>
      </c>
      <c r="F155" s="162" t="str">
        <f>IF(wskakunin_owner6__address="", "", wskakunin_owner6__address)</f>
        <v/>
      </c>
      <c r="H155" s="22"/>
    </row>
    <row r="156" spans="1:8" ht="12">
      <c r="A156" s="53"/>
      <c r="B156" s="131" t="s">
        <v>214</v>
      </c>
      <c r="C156" s="21" t="s">
        <v>331</v>
      </c>
      <c r="D156" s="255" t="s">
        <v>112</v>
      </c>
      <c r="E156" s="21" t="s">
        <v>332</v>
      </c>
      <c r="F156" s="162" t="str">
        <f>IF(wskakunin_owner6_TEL="", "", wskakunin_owner6_TEL)</f>
        <v/>
      </c>
      <c r="H156" s="22"/>
    </row>
    <row r="157" spans="1:8" ht="24">
      <c r="A157" s="53"/>
      <c r="B157" s="80" t="s">
        <v>223</v>
      </c>
      <c r="E157" s="21" t="s">
        <v>333</v>
      </c>
      <c r="F157" s="162" t="str">
        <f>wskakunin_owner6_JIMU_NAME&amp;IF(wskakunin_owner6_JIMU_NAME="","",CHAR(10))&amp;cst_wskakunin_owner6__space2</f>
        <v/>
      </c>
      <c r="H157" s="22"/>
    </row>
    <row r="158" spans="1:8" ht="12">
      <c r="A158" s="53"/>
      <c r="B158" s="161"/>
      <c r="D158" s="37"/>
      <c r="F158" s="22"/>
      <c r="H158" s="22"/>
    </row>
    <row r="159" spans="1:8" ht="12">
      <c r="A159" s="49" t="s">
        <v>334</v>
      </c>
      <c r="B159" s="52"/>
      <c r="H159" s="22"/>
    </row>
    <row r="160" spans="1:8" ht="12">
      <c r="A160" s="86"/>
      <c r="B160" s="131" t="s">
        <v>182</v>
      </c>
      <c r="C160" s="21" t="s">
        <v>335</v>
      </c>
      <c r="D160" s="162" t="s">
        <v>112</v>
      </c>
      <c r="E160" s="21" t="s">
        <v>336</v>
      </c>
      <c r="F160" s="162" t="str">
        <f>IF(wskakunin_owner7_JIMU_NAME="", "", wskakunin_owner7_JIMU_NAME)</f>
        <v/>
      </c>
      <c r="H160" s="22"/>
    </row>
    <row r="161" spans="1:8" ht="12">
      <c r="A161" s="86"/>
      <c r="B161" s="131" t="s">
        <v>185</v>
      </c>
      <c r="C161" s="21" t="s">
        <v>337</v>
      </c>
      <c r="D161" s="162" t="s">
        <v>112</v>
      </c>
      <c r="E161" s="21" t="s">
        <v>338</v>
      </c>
      <c r="F161" s="162" t="str">
        <f>IF(wskakunin_owner7_JIMU_NAME_KANA="","",wskakunin_owner7_JIMU_NAME_KANA)</f>
        <v/>
      </c>
      <c r="H161" s="22"/>
    </row>
    <row r="162" spans="1:8" ht="12">
      <c r="A162" s="86"/>
      <c r="B162" s="131" t="s">
        <v>188</v>
      </c>
      <c r="C162" s="21" t="s">
        <v>339</v>
      </c>
      <c r="D162" s="162" t="s">
        <v>112</v>
      </c>
      <c r="E162" s="21" t="s">
        <v>340</v>
      </c>
      <c r="F162" s="162" t="str">
        <f>IF(wskakunin_owner7_POST="", "", wskakunin_owner7_POST)</f>
        <v/>
      </c>
      <c r="H162" s="22"/>
    </row>
    <row r="163" spans="1:8" ht="12">
      <c r="A163" s="86"/>
      <c r="B163" s="131" t="s">
        <v>191</v>
      </c>
      <c r="C163" s="21" t="s">
        <v>341</v>
      </c>
      <c r="D163" s="162" t="s">
        <v>112</v>
      </c>
      <c r="E163" s="21" t="s">
        <v>342</v>
      </c>
      <c r="F163" s="162" t="str">
        <f>IF(wskakunin_owner7_POST_KANA="","",wskakunin_owner7_POST_KANA)</f>
        <v/>
      </c>
      <c r="H163" s="22"/>
    </row>
    <row r="164" spans="1:8" ht="12">
      <c r="A164" s="86"/>
      <c r="B164" s="131" t="s">
        <v>194</v>
      </c>
      <c r="C164" s="21" t="s">
        <v>343</v>
      </c>
      <c r="D164" s="162" t="s">
        <v>112</v>
      </c>
      <c r="E164" s="21" t="s">
        <v>344</v>
      </c>
      <c r="F164" s="162" t="str">
        <f>IF(wskakunin_owner7_NAME="", "", wskakunin_owner7_NAME)</f>
        <v/>
      </c>
      <c r="H164" s="22"/>
    </row>
    <row r="165" spans="1:8" ht="12">
      <c r="A165" s="53"/>
      <c r="B165" s="131" t="s">
        <v>197</v>
      </c>
      <c r="C165" s="21" t="s">
        <v>345</v>
      </c>
      <c r="D165" s="162" t="s">
        <v>112</v>
      </c>
      <c r="E165" s="21" t="s">
        <v>346</v>
      </c>
      <c r="F165" s="162" t="str">
        <f>IF(wskakunin_owner7_NAME_KANA="","",wskakunin_owner7_NAME_KANA)</f>
        <v/>
      </c>
      <c r="H165" s="22"/>
    </row>
    <row r="166" spans="1:8" ht="12">
      <c r="A166" s="53"/>
      <c r="B166" s="131" t="s">
        <v>205</v>
      </c>
      <c r="C166" s="21" t="s">
        <v>347</v>
      </c>
      <c r="D166" s="255" t="s">
        <v>112</v>
      </c>
      <c r="E166" s="21" t="s">
        <v>348</v>
      </c>
      <c r="F166" s="162" t="str">
        <f>IF(wskakunin_owner7_ZIP="", "", wskakunin_owner7_ZIP)</f>
        <v/>
      </c>
      <c r="H166" s="22"/>
    </row>
    <row r="167" spans="1:8" ht="12">
      <c r="A167" s="53"/>
      <c r="B167" s="131" t="s">
        <v>210</v>
      </c>
      <c r="C167" s="21" t="s">
        <v>349</v>
      </c>
      <c r="D167" s="162" t="s">
        <v>112</v>
      </c>
      <c r="E167" s="21" t="s">
        <v>350</v>
      </c>
      <c r="F167" s="162" t="str">
        <f>IF(wskakunin_owner7__address="", "", wskakunin_owner7__address)</f>
        <v/>
      </c>
      <c r="H167" s="22"/>
    </row>
    <row r="168" spans="1:8" ht="12">
      <c r="A168" s="53"/>
      <c r="B168" s="131" t="s">
        <v>214</v>
      </c>
      <c r="C168" s="21" t="s">
        <v>351</v>
      </c>
      <c r="D168" s="255" t="s">
        <v>112</v>
      </c>
      <c r="E168" s="21" t="s">
        <v>352</v>
      </c>
      <c r="F168" s="162" t="str">
        <f>IF(wskakunin_owner7_TEL="", "", wskakunin_owner7_TEL)</f>
        <v/>
      </c>
      <c r="H168" s="22"/>
    </row>
    <row r="169" spans="1:8" ht="12">
      <c r="A169" s="53"/>
      <c r="B169" s="161"/>
      <c r="D169" s="37"/>
      <c r="F169" s="22"/>
      <c r="H169" s="22"/>
    </row>
    <row r="170" spans="1:8" ht="12">
      <c r="A170" s="49" t="s">
        <v>353</v>
      </c>
      <c r="B170" s="52"/>
      <c r="H170" s="22"/>
    </row>
    <row r="171" spans="1:8" ht="12">
      <c r="A171" s="86"/>
      <c r="B171" s="131" t="s">
        <v>182</v>
      </c>
      <c r="C171" s="21" t="s">
        <v>354</v>
      </c>
      <c r="D171" s="162" t="s">
        <v>112</v>
      </c>
      <c r="E171" s="21" t="s">
        <v>355</v>
      </c>
      <c r="F171" s="162" t="str">
        <f>IF(wskakunin_owner8_JIMU_NAME="", "", wskakunin_owner8_JIMU_NAME)</f>
        <v/>
      </c>
      <c r="H171" s="22"/>
    </row>
    <row r="172" spans="1:8" ht="12">
      <c r="A172" s="86"/>
      <c r="B172" s="131" t="s">
        <v>185</v>
      </c>
      <c r="C172" s="21" t="s">
        <v>356</v>
      </c>
      <c r="D172" s="162" t="s">
        <v>112</v>
      </c>
      <c r="E172" s="21" t="s">
        <v>357</v>
      </c>
      <c r="F172" s="162" t="str">
        <f>IF(wskakunin_owner8_JIMU_NAME_KANA="","",wskakunin_owner8_JIMU_NAME_KANA)</f>
        <v/>
      </c>
      <c r="H172" s="22"/>
    </row>
    <row r="173" spans="1:8" ht="12">
      <c r="A173" s="86"/>
      <c r="B173" s="131" t="s">
        <v>188</v>
      </c>
      <c r="C173" s="21" t="s">
        <v>358</v>
      </c>
      <c r="D173" s="162" t="s">
        <v>112</v>
      </c>
      <c r="E173" s="21" t="s">
        <v>359</v>
      </c>
      <c r="F173" s="162" t="str">
        <f>IF(wskakunin_owner8_POST="", "", wskakunin_owner8_POST)</f>
        <v/>
      </c>
      <c r="H173" s="22"/>
    </row>
    <row r="174" spans="1:8" ht="12">
      <c r="A174" s="86"/>
      <c r="B174" s="131" t="s">
        <v>191</v>
      </c>
      <c r="C174" s="21" t="s">
        <v>360</v>
      </c>
      <c r="D174" s="162" t="s">
        <v>112</v>
      </c>
      <c r="E174" s="21" t="s">
        <v>361</v>
      </c>
      <c r="F174" s="162" t="str">
        <f>IF(wskakunin_owner8_POST_KANA="","",wskakunin_owner8_POST_KANA)</f>
        <v/>
      </c>
      <c r="H174" s="22"/>
    </row>
    <row r="175" spans="1:8" ht="12">
      <c r="A175" s="86"/>
      <c r="B175" s="131" t="s">
        <v>194</v>
      </c>
      <c r="C175" s="21" t="s">
        <v>362</v>
      </c>
      <c r="D175" s="162" t="s">
        <v>112</v>
      </c>
      <c r="E175" s="21" t="s">
        <v>363</v>
      </c>
      <c r="F175" s="162" t="str">
        <f>IF(wskakunin_owner8_NAME="", "", wskakunin_owner8_NAME)</f>
        <v/>
      </c>
      <c r="H175" s="22"/>
    </row>
    <row r="176" spans="1:8" ht="12">
      <c r="A176" s="53"/>
      <c r="B176" s="131" t="s">
        <v>197</v>
      </c>
      <c r="C176" s="21" t="s">
        <v>364</v>
      </c>
      <c r="D176" s="162" t="s">
        <v>112</v>
      </c>
      <c r="E176" s="21" t="s">
        <v>365</v>
      </c>
      <c r="F176" s="162" t="str">
        <f>IF(wskakunin_owner8_NAME_KANA="","",wskakunin_owner8_NAME_KANA)</f>
        <v/>
      </c>
      <c r="H176" s="22"/>
    </row>
    <row r="177" spans="1:8" ht="12">
      <c r="A177" s="53"/>
      <c r="B177" s="131" t="s">
        <v>205</v>
      </c>
      <c r="C177" s="21" t="s">
        <v>366</v>
      </c>
      <c r="D177" s="255" t="s">
        <v>112</v>
      </c>
      <c r="E177" s="21" t="s">
        <v>367</v>
      </c>
      <c r="F177" s="162" t="str">
        <f>IF(wskakunin_owner8_ZIP="", "", wskakunin_owner8_ZIP)</f>
        <v/>
      </c>
      <c r="H177" s="22"/>
    </row>
    <row r="178" spans="1:8" ht="12">
      <c r="A178" s="53"/>
      <c r="B178" s="131" t="s">
        <v>210</v>
      </c>
      <c r="C178" s="21" t="s">
        <v>368</v>
      </c>
      <c r="D178" s="162" t="s">
        <v>112</v>
      </c>
      <c r="E178" s="21" t="s">
        <v>369</v>
      </c>
      <c r="F178" s="162" t="str">
        <f>IF(wskakunin_owner8__address="", "", wskakunin_owner8__address)</f>
        <v/>
      </c>
      <c r="H178" s="22"/>
    </row>
    <row r="179" spans="1:8" ht="12">
      <c r="A179" s="53"/>
      <c r="B179" s="131" t="s">
        <v>214</v>
      </c>
      <c r="C179" s="21" t="s">
        <v>370</v>
      </c>
      <c r="D179" s="255" t="s">
        <v>112</v>
      </c>
      <c r="E179" s="21" t="s">
        <v>371</v>
      </c>
      <c r="F179" s="162" t="str">
        <f>IF(wskakunin_owner8_TEL="", "", wskakunin_owner8_TEL)</f>
        <v/>
      </c>
      <c r="H179" s="22"/>
    </row>
    <row r="180" spans="1:8" ht="12">
      <c r="A180" s="53"/>
      <c r="B180" s="161"/>
      <c r="D180" s="37"/>
      <c r="F180" s="22"/>
      <c r="H180" s="22"/>
    </row>
    <row r="181" spans="1:8" ht="12">
      <c r="A181" s="49" t="s">
        <v>372</v>
      </c>
      <c r="B181" s="52"/>
      <c r="H181" s="22"/>
    </row>
    <row r="182" spans="1:8" ht="12">
      <c r="A182" s="86"/>
      <c r="B182" s="131" t="s">
        <v>182</v>
      </c>
      <c r="C182" s="21" t="s">
        <v>373</v>
      </c>
      <c r="D182" s="162" t="s">
        <v>112</v>
      </c>
      <c r="E182" s="21" t="s">
        <v>374</v>
      </c>
      <c r="F182" s="162" t="str">
        <f>IF(wskakunin_owner9_JIMU_NAME="", "", wskakunin_owner9_JIMU_NAME)</f>
        <v/>
      </c>
      <c r="H182" s="22"/>
    </row>
    <row r="183" spans="1:8" ht="12">
      <c r="A183" s="86"/>
      <c r="B183" s="131" t="s">
        <v>185</v>
      </c>
      <c r="C183" s="21" t="s">
        <v>375</v>
      </c>
      <c r="D183" s="162" t="s">
        <v>112</v>
      </c>
      <c r="E183" s="21" t="s">
        <v>376</v>
      </c>
      <c r="F183" s="162" t="str">
        <f>IF(wskakunin_owner9_JIMU_NAME_KANA="","",wskakunin_owner9_JIMU_NAME_KANA)</f>
        <v/>
      </c>
      <c r="H183" s="22"/>
    </row>
    <row r="184" spans="1:8" ht="12">
      <c r="A184" s="86"/>
      <c r="B184" s="131" t="s">
        <v>188</v>
      </c>
      <c r="C184" s="21" t="s">
        <v>377</v>
      </c>
      <c r="D184" s="162" t="s">
        <v>112</v>
      </c>
      <c r="E184" s="21" t="s">
        <v>378</v>
      </c>
      <c r="F184" s="162" t="str">
        <f>IF(wskakunin_owner9_POST="", "", wskakunin_owner9_POST)</f>
        <v/>
      </c>
      <c r="H184" s="22"/>
    </row>
    <row r="185" spans="1:8" ht="12">
      <c r="A185" s="86"/>
      <c r="B185" s="131" t="s">
        <v>191</v>
      </c>
      <c r="C185" s="21" t="s">
        <v>379</v>
      </c>
      <c r="D185" s="162" t="s">
        <v>112</v>
      </c>
      <c r="E185" s="21" t="s">
        <v>380</v>
      </c>
      <c r="F185" s="162" t="str">
        <f>IF(wskakunin_owner9_POST_KANA="","",wskakunin_owner9_POST_KANA)</f>
        <v/>
      </c>
      <c r="H185" s="22"/>
    </row>
    <row r="186" spans="1:8" ht="12">
      <c r="A186" s="86"/>
      <c r="B186" s="131" t="s">
        <v>194</v>
      </c>
      <c r="C186" s="21" t="s">
        <v>381</v>
      </c>
      <c r="D186" s="162" t="s">
        <v>112</v>
      </c>
      <c r="E186" s="21" t="s">
        <v>382</v>
      </c>
      <c r="F186" s="162" t="str">
        <f>IF(wskakunin_owner9_NAME="", "", wskakunin_owner9_NAME)</f>
        <v/>
      </c>
      <c r="H186" s="22"/>
    </row>
    <row r="187" spans="1:8" ht="12">
      <c r="A187" s="53"/>
      <c r="B187" s="131" t="s">
        <v>197</v>
      </c>
      <c r="C187" s="21" t="s">
        <v>383</v>
      </c>
      <c r="D187" s="162" t="s">
        <v>112</v>
      </c>
      <c r="E187" s="21" t="s">
        <v>384</v>
      </c>
      <c r="F187" s="162" t="str">
        <f>IF(wskakunin_owner9_NAME_KANA="","",wskakunin_owner9_NAME_KANA)</f>
        <v/>
      </c>
      <c r="H187" s="22"/>
    </row>
    <row r="188" spans="1:8" ht="12">
      <c r="A188" s="53"/>
      <c r="B188" s="131" t="s">
        <v>205</v>
      </c>
      <c r="C188" s="21" t="s">
        <v>385</v>
      </c>
      <c r="D188" s="255" t="s">
        <v>112</v>
      </c>
      <c r="E188" s="21" t="s">
        <v>386</v>
      </c>
      <c r="F188" s="162" t="str">
        <f>IF(wskakunin_owner9_ZIP="", "", wskakunin_owner9_ZIP)</f>
        <v/>
      </c>
      <c r="H188" s="22"/>
    </row>
    <row r="189" spans="1:8" ht="12">
      <c r="A189" s="53"/>
      <c r="B189" s="131" t="s">
        <v>210</v>
      </c>
      <c r="C189" s="21" t="s">
        <v>387</v>
      </c>
      <c r="D189" s="162" t="s">
        <v>112</v>
      </c>
      <c r="E189" s="21" t="s">
        <v>388</v>
      </c>
      <c r="F189" s="162" t="str">
        <f>IF(wskakunin_owner9__address="", "", wskakunin_owner9__address)</f>
        <v/>
      </c>
      <c r="H189" s="22"/>
    </row>
    <row r="190" spans="1:8" ht="12">
      <c r="A190" s="53"/>
      <c r="B190" s="131" t="s">
        <v>214</v>
      </c>
      <c r="C190" s="21" t="s">
        <v>389</v>
      </c>
      <c r="D190" s="255" t="s">
        <v>112</v>
      </c>
      <c r="E190" s="21" t="s">
        <v>390</v>
      </c>
      <c r="F190" s="162" t="str">
        <f>IF(wskakunin_owner9_TEL="", "", wskakunin_owner9_TEL)</f>
        <v/>
      </c>
      <c r="H190" s="22"/>
    </row>
    <row r="191" spans="1:8" ht="12">
      <c r="A191" s="53"/>
      <c r="B191" s="161"/>
      <c r="D191" s="37"/>
      <c r="F191" s="22"/>
      <c r="H191" s="22"/>
    </row>
    <row r="192" spans="1:8" ht="12">
      <c r="A192" s="55" t="s">
        <v>391</v>
      </c>
      <c r="B192" s="114"/>
      <c r="G192" s="22"/>
      <c r="H192" s="22"/>
    </row>
    <row r="193" spans="1:8" ht="12">
      <c r="A193" s="115"/>
      <c r="B193" s="79" t="s">
        <v>392</v>
      </c>
      <c r="C193" s="21" t="s">
        <v>393</v>
      </c>
      <c r="D193" s="261" t="s">
        <v>394</v>
      </c>
      <c r="E193" s="21" t="s">
        <v>395</v>
      </c>
      <c r="F193" s="261" t="str">
        <f>IF(wskakunin_dairi1__sikaku="", "", wskakunin_dairi1__sikaku)</f>
        <v>一級建築士大臣登録第001100号</v>
      </c>
      <c r="G193" s="22"/>
      <c r="H193" s="22"/>
    </row>
    <row r="194" spans="1:8" ht="12">
      <c r="A194" s="115"/>
      <c r="B194" s="79" t="s">
        <v>396</v>
      </c>
      <c r="C194" s="21" t="s">
        <v>397</v>
      </c>
      <c r="D194" s="261" t="s">
        <v>398</v>
      </c>
      <c r="E194" s="21" t="s">
        <v>399</v>
      </c>
      <c r="F194" s="261" t="str">
        <f>IF(wskakunin_dairi1_SIKAKU__label="","",wskakunin_dairi1_SIKAKU__label)</f>
        <v>一級</v>
      </c>
      <c r="G194" s="22"/>
      <c r="H194" s="22"/>
    </row>
    <row r="195" spans="1:8" ht="12">
      <c r="A195" s="115"/>
      <c r="B195" s="79" t="s">
        <v>400</v>
      </c>
      <c r="C195" s="21" t="s">
        <v>401</v>
      </c>
      <c r="D195" s="261" t="s">
        <v>402</v>
      </c>
      <c r="E195" s="21" t="s">
        <v>403</v>
      </c>
      <c r="F195" s="261" t="str">
        <f>IF(wskakunin_dairi1_TOUROKU_KIKAN__label="","",wskakunin_dairi1_TOUROKU_KIKAN__label)</f>
        <v>大臣</v>
      </c>
      <c r="G195" s="22"/>
      <c r="H195" s="22"/>
    </row>
    <row r="196" spans="1:8" ht="12">
      <c r="A196" s="115"/>
      <c r="B196" s="79" t="s">
        <v>404</v>
      </c>
      <c r="C196" s="21" t="s">
        <v>405</v>
      </c>
      <c r="D196" s="263" t="s">
        <v>406</v>
      </c>
      <c r="E196" s="21" t="s">
        <v>407</v>
      </c>
      <c r="F196" s="261" t="str">
        <f>IF(wskakunin_dairi1_KENTIKUSI_NO="","",wskakunin_dairi1_KENTIKUSI_NO)</f>
        <v>001100</v>
      </c>
      <c r="G196" s="22"/>
      <c r="H196" s="22"/>
    </row>
    <row r="197" spans="1:8" ht="12">
      <c r="A197" s="297"/>
      <c r="B197" s="79" t="s">
        <v>188</v>
      </c>
      <c r="C197" s="21" t="s">
        <v>408</v>
      </c>
      <c r="D197" s="263"/>
      <c r="E197" s="21" t="s">
        <v>409</v>
      </c>
      <c r="F197" s="261" t="str">
        <f>IF(wsflat35_dairi1_POST="","",wsflat35_dairi1_POST)</f>
        <v/>
      </c>
      <c r="G197" s="22"/>
      <c r="H197" s="22"/>
    </row>
    <row r="198" spans="1:8" ht="12">
      <c r="A198" s="64"/>
      <c r="B198" s="79" t="s">
        <v>194</v>
      </c>
      <c r="C198" s="21" t="s">
        <v>410</v>
      </c>
      <c r="D198" s="261" t="s">
        <v>411</v>
      </c>
      <c r="E198" s="21" t="s">
        <v>412</v>
      </c>
      <c r="F198" s="261" t="str">
        <f>IF(wskakunin_dairi1_NAME="", "", wskakunin_dairi1_NAME)</f>
        <v>現場　猫</v>
      </c>
      <c r="G198" s="22"/>
      <c r="H198" s="22"/>
    </row>
    <row r="199" spans="1:8" ht="12">
      <c r="A199" s="64"/>
      <c r="B199" s="79" t="s">
        <v>413</v>
      </c>
      <c r="C199" s="21" t="s">
        <v>414</v>
      </c>
      <c r="D199" s="261" t="s">
        <v>112</v>
      </c>
      <c r="E199" s="21" t="s">
        <v>415</v>
      </c>
      <c r="F199" s="261" t="str">
        <f>IF(wskakunin_dairi1_NAME_KANA="", "", wskakunin_dairi1_NAME_KANA)</f>
        <v/>
      </c>
      <c r="G199" s="22"/>
      <c r="H199" s="22"/>
    </row>
    <row r="200" spans="1:8" ht="12">
      <c r="A200" s="64"/>
      <c r="B200" s="79" t="s">
        <v>416</v>
      </c>
      <c r="C200" s="21" t="s">
        <v>417</v>
      </c>
      <c r="D200" s="261" t="s">
        <v>418</v>
      </c>
      <c r="E200" s="21" t="s">
        <v>419</v>
      </c>
      <c r="F200" s="261" t="str">
        <f>IF(wskakunin_dairi1_JIMU__sikaku="", "", wskakunin_dairi1_JIMU__sikaku)</f>
        <v>一級建築士事務所京都府知事登録第03A00000号</v>
      </c>
      <c r="G200" s="22"/>
      <c r="H200" s="22"/>
    </row>
    <row r="201" spans="1:8" ht="12">
      <c r="A201" s="64"/>
      <c r="B201" s="79" t="s">
        <v>420</v>
      </c>
      <c r="C201" s="21" t="s">
        <v>421</v>
      </c>
      <c r="D201" s="261" t="s">
        <v>398</v>
      </c>
      <c r="E201" s="21" t="s">
        <v>422</v>
      </c>
      <c r="F201" s="261" t="str">
        <f>IF(wskakunin_dairi1_JIMU_SIKAKU__label="","",wskakunin_dairi1_JIMU_SIKAKU__label)</f>
        <v>一級</v>
      </c>
      <c r="G201" s="22"/>
      <c r="H201" s="22"/>
    </row>
    <row r="202" spans="1:8" ht="12">
      <c r="A202" s="64"/>
      <c r="B202" s="79" t="s">
        <v>423</v>
      </c>
      <c r="C202" s="21" t="s">
        <v>424</v>
      </c>
      <c r="D202" s="261" t="s">
        <v>425</v>
      </c>
      <c r="E202" s="21" t="s">
        <v>426</v>
      </c>
      <c r="F202" s="261" t="str">
        <f>IF(wskakunin_dairi1_JIMU_TOUROKU_KIKAN__label="","",wskakunin_dairi1_JIMU_TOUROKU_KIKAN__label)</f>
        <v>京都府</v>
      </c>
      <c r="G202" s="22"/>
      <c r="H202" s="22"/>
    </row>
    <row r="203" spans="1:8" ht="12">
      <c r="A203" s="64"/>
      <c r="B203" s="79" t="s">
        <v>427</v>
      </c>
      <c r="C203" s="21" t="s">
        <v>428</v>
      </c>
      <c r="D203" s="263" t="s">
        <v>429</v>
      </c>
      <c r="E203" s="21" t="s">
        <v>430</v>
      </c>
      <c r="F203" s="261" t="str">
        <f>IF(wskakunin_dairi1_JIMU_NO="","",wskakunin_dairi1_JIMU_NO)</f>
        <v>03A00000</v>
      </c>
      <c r="G203" s="22"/>
      <c r="H203" s="22"/>
    </row>
    <row r="204" spans="1:8" ht="12">
      <c r="A204" s="64"/>
      <c r="B204" s="79" t="s">
        <v>431</v>
      </c>
      <c r="C204" s="21" t="s">
        <v>432</v>
      </c>
      <c r="D204" s="261" t="s">
        <v>433</v>
      </c>
      <c r="E204" s="21" t="s">
        <v>434</v>
      </c>
      <c r="F204" s="261" t="str">
        <f>IF(wskakunin_dairi1_JIMU_NAME="", "",wskakunin_dairi1_JIMU_NAME)</f>
        <v>猫建築事務所</v>
      </c>
      <c r="G204" s="22"/>
      <c r="H204" s="22"/>
    </row>
    <row r="205" spans="1:8" ht="12">
      <c r="A205" s="64"/>
      <c r="B205" s="79" t="s">
        <v>205</v>
      </c>
      <c r="C205" s="21" t="s">
        <v>435</v>
      </c>
      <c r="D205" s="263" t="s">
        <v>436</v>
      </c>
      <c r="E205" s="21" t="s">
        <v>437</v>
      </c>
      <c r="F205" s="261" t="str">
        <f>IF(wskakunin_dairi1_ZIP="", "", wskakunin_dairi1_ZIP)</f>
        <v>604-0001</v>
      </c>
      <c r="G205" s="22"/>
      <c r="H205" s="22"/>
    </row>
    <row r="206" spans="1:8" ht="12">
      <c r="A206" s="64"/>
      <c r="B206" s="79" t="s">
        <v>438</v>
      </c>
      <c r="C206" s="21" t="s">
        <v>439</v>
      </c>
      <c r="D206" s="261" t="s">
        <v>440</v>
      </c>
      <c r="E206" s="21" t="s">
        <v>441</v>
      </c>
      <c r="F206" s="261" t="str">
        <f>IF(wskakunin_dairi1__address="", "", wskakunin_dairi1__address)</f>
        <v>京都府京都市中京区道場町1</v>
      </c>
      <c r="G206" s="22"/>
      <c r="H206" s="22"/>
    </row>
    <row r="207" spans="1:8" ht="12">
      <c r="A207" s="64"/>
      <c r="B207" s="79" t="s">
        <v>214</v>
      </c>
      <c r="C207" s="21" t="s">
        <v>442</v>
      </c>
      <c r="D207" s="263" t="s">
        <v>443</v>
      </c>
      <c r="E207" s="21" t="s">
        <v>444</v>
      </c>
      <c r="F207" s="261" t="str">
        <f>IF(wskakunin_dairi1_TEL="", "", wskakunin_dairi1_TEL)</f>
        <v>075-000-0000</v>
      </c>
      <c r="G207" s="22"/>
      <c r="H207" s="22"/>
    </row>
    <row r="208" spans="1:8" ht="12">
      <c r="A208" s="295"/>
      <c r="B208" s="307"/>
      <c r="E208" s="21" t="s">
        <v>445</v>
      </c>
      <c r="F208" s="261" t="str">
        <f>IF(wskakunin_dairi1_TEL="","（　　　　）　　　-","（"&amp;LEFT(cst_wskakunin_dairi1_TEL,FIND("-",cst_wskakunin_dairi1_TEL)-1)&amp;"）　"&amp;MID(cst_wskakunin_dairi1_TEL,FIND("-",cst_wskakunin_dairi1_TEL)+1,FIND("-",cst_wskakunin_dairi1_TEL,FIND("-",cst_wskakunin_dairi1_TEL)+1)-FIND("-",cst_wskakunin_dairi1_TEL)-1)&amp;"-"&amp;RIGHT(cst_wskakunin_dairi1_TEL,LEN(cst_wskakunin_dairi1_TEL)-FIND("-",cst_wskakunin_dairi1_TEL,FIND("-",cst_wskakunin_dairi1_TEL)+1)))</f>
        <v>（075）　000-0000</v>
      </c>
      <c r="G208" s="22"/>
      <c r="H208" s="22"/>
    </row>
    <row r="209" spans="1:8" ht="12">
      <c r="A209" s="64"/>
      <c r="B209" s="79" t="s">
        <v>446</v>
      </c>
      <c r="C209" s="21" t="s">
        <v>447</v>
      </c>
      <c r="D209" s="263" t="s">
        <v>112</v>
      </c>
      <c r="E209" s="21" t="s">
        <v>448</v>
      </c>
      <c r="F209" s="261" t="str">
        <f>IF(wskakunin_dairi1_FAX="", "", wskakunin_dairi1_FAX)</f>
        <v/>
      </c>
      <c r="G209" s="22"/>
      <c r="H209" s="22"/>
    </row>
    <row r="210" spans="1:8" ht="12">
      <c r="A210" s="64"/>
      <c r="B210" s="116" t="s">
        <v>449</v>
      </c>
      <c r="D210" s="22"/>
      <c r="E210" s="21" t="s">
        <v>450</v>
      </c>
      <c r="F210" s="261" t="str">
        <f>IF(wskakunin_dairi1_NAME&amp;wskakunin_dairi1_JIMU_NAME="","",IF(wskakunin_dairi1_JIMU_NAME="",wskakunin_dairi1_NAME,wskakunin_dairi1_JIMU_NAME&amp;"　"&amp;wskakunin_dairi1_NAME))</f>
        <v>猫建築事務所　現場　猫</v>
      </c>
      <c r="G210" s="22"/>
      <c r="H210" s="22"/>
    </row>
    <row r="211" spans="1:8" ht="12">
      <c r="A211" s="295"/>
      <c r="B211" s="296"/>
      <c r="D211" s="22"/>
      <c r="E211" s="21" t="s">
        <v>451</v>
      </c>
      <c r="F211" s="261"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猫建築事務所　現場　猫</v>
      </c>
      <c r="G211" s="22"/>
      <c r="H211" s="22"/>
    </row>
    <row r="212" spans="1:8" ht="12">
      <c r="A212" s="65"/>
      <c r="B212" s="117"/>
      <c r="D212" s="37"/>
      <c r="F212" s="22"/>
      <c r="G212" s="22"/>
      <c r="H212" s="22"/>
    </row>
    <row r="213" spans="1:8" ht="12">
      <c r="A213" s="55" t="s">
        <v>452</v>
      </c>
      <c r="B213" s="114"/>
      <c r="G213" s="22"/>
      <c r="H213" s="22"/>
    </row>
    <row r="214" spans="1:8" ht="12">
      <c r="A214" s="115"/>
      <c r="B214" s="79" t="s">
        <v>392</v>
      </c>
      <c r="C214" s="21" t="s">
        <v>453</v>
      </c>
      <c r="D214" s="261" t="s">
        <v>112</v>
      </c>
      <c r="E214" s="21" t="s">
        <v>454</v>
      </c>
      <c r="F214" s="261" t="str">
        <f>IF(wskakunin_dairi2__sikaku="", "", wskakunin_dairi2__sikaku)</f>
        <v/>
      </c>
      <c r="H214" s="22"/>
    </row>
    <row r="215" spans="1:8" ht="12">
      <c r="A215" s="115"/>
      <c r="B215" s="79" t="s">
        <v>396</v>
      </c>
      <c r="C215" s="21" t="s">
        <v>455</v>
      </c>
      <c r="D215" s="261" t="s">
        <v>112</v>
      </c>
      <c r="E215" s="21" t="s">
        <v>456</v>
      </c>
      <c r="F215" s="261" t="str">
        <f>IF(wskakunin_dairi2_SIKAKU__label="","",wskakunin_dairi2_SIKAKU__label)</f>
        <v/>
      </c>
      <c r="H215" s="22"/>
    </row>
    <row r="216" spans="1:8" ht="12">
      <c r="A216" s="115"/>
      <c r="B216" s="79" t="s">
        <v>400</v>
      </c>
      <c r="C216" s="21" t="s">
        <v>457</v>
      </c>
      <c r="D216" s="261" t="s">
        <v>112</v>
      </c>
      <c r="E216" s="21" t="s">
        <v>458</v>
      </c>
      <c r="F216" s="261" t="str">
        <f>IF(wskakunin_dairi2_TOUROKU_KIKAN__label="","",wskakunin_dairi2_TOUROKU_KIKAN__label)</f>
        <v/>
      </c>
      <c r="H216" s="22"/>
    </row>
    <row r="217" spans="1:8" ht="12">
      <c r="A217" s="115"/>
      <c r="B217" s="79" t="s">
        <v>404</v>
      </c>
      <c r="C217" s="21" t="s">
        <v>459</v>
      </c>
      <c r="D217" s="263" t="s">
        <v>112</v>
      </c>
      <c r="E217" s="21" t="s">
        <v>460</v>
      </c>
      <c r="F217" s="261" t="str">
        <f>IF(wskakunin_dairi2_KENTIKUSI_NO="","",wskakunin_dairi2_KENTIKUSI_NO)</f>
        <v/>
      </c>
      <c r="H217" s="22"/>
    </row>
    <row r="218" spans="1:8" ht="12">
      <c r="A218" s="64"/>
      <c r="B218" s="79" t="s">
        <v>194</v>
      </c>
      <c r="C218" s="21" t="s">
        <v>461</v>
      </c>
      <c r="D218" s="261" t="s">
        <v>112</v>
      </c>
      <c r="E218" s="21" t="s">
        <v>462</v>
      </c>
      <c r="F218" s="261" t="str">
        <f>IF(wskakunin_dairi2_NAME="", "", wskakunin_dairi2_NAME)</f>
        <v/>
      </c>
      <c r="H218" s="22"/>
    </row>
    <row r="219" spans="1:8" ht="12">
      <c r="A219" s="64"/>
      <c r="B219" s="79" t="s">
        <v>413</v>
      </c>
      <c r="C219" s="21" t="s">
        <v>463</v>
      </c>
      <c r="D219" s="261" t="s">
        <v>112</v>
      </c>
      <c r="E219" s="21" t="s">
        <v>464</v>
      </c>
      <c r="F219" s="261" t="str">
        <f>IF(wskakunin_dairi2_NAME_KANA="", "", wskakunin_dairi2_NAME_KANA)</f>
        <v/>
      </c>
      <c r="H219" s="22"/>
    </row>
    <row r="220" spans="1:8" ht="12">
      <c r="A220" s="64"/>
      <c r="B220" s="79" t="s">
        <v>416</v>
      </c>
      <c r="C220" s="21" t="s">
        <v>465</v>
      </c>
      <c r="D220" s="261" t="s">
        <v>112</v>
      </c>
      <c r="E220" s="21" t="s">
        <v>466</v>
      </c>
      <c r="F220" s="261" t="str">
        <f>IF(wskakunin_dairi2_JIMU__sikaku="", "", wskakunin_dairi2_JIMU__sikaku)</f>
        <v/>
      </c>
      <c r="H220" s="22"/>
    </row>
    <row r="221" spans="1:8" ht="12">
      <c r="A221" s="64"/>
      <c r="B221" s="79" t="s">
        <v>420</v>
      </c>
      <c r="C221" s="21" t="s">
        <v>467</v>
      </c>
      <c r="D221" s="261" t="s">
        <v>112</v>
      </c>
      <c r="E221" s="21" t="s">
        <v>468</v>
      </c>
      <c r="F221" s="261" t="str">
        <f>IF(wskakunin_dairi2_JIMU_SIKAKU__label="","",wskakunin_dairi2_JIMU_SIKAKU__label)</f>
        <v/>
      </c>
      <c r="H221" s="22"/>
    </row>
    <row r="222" spans="1:8" ht="12">
      <c r="A222" s="64"/>
      <c r="B222" s="79" t="s">
        <v>423</v>
      </c>
      <c r="C222" s="21" t="s">
        <v>469</v>
      </c>
      <c r="D222" s="261" t="s">
        <v>112</v>
      </c>
      <c r="E222" s="21" t="s">
        <v>470</v>
      </c>
      <c r="F222" s="261" t="str">
        <f>IF(wskakunin_dairi2_JIMU_TOUROKU_KIKAN__label="","",wskakunin_dairi2_JIMU_TOUROKU_KIKAN__label)</f>
        <v/>
      </c>
      <c r="H222" s="22"/>
    </row>
    <row r="223" spans="1:8" ht="12">
      <c r="A223" s="64"/>
      <c r="B223" s="79" t="s">
        <v>427</v>
      </c>
      <c r="C223" s="21" t="s">
        <v>471</v>
      </c>
      <c r="D223" s="263" t="s">
        <v>112</v>
      </c>
      <c r="E223" s="21" t="s">
        <v>472</v>
      </c>
      <c r="F223" s="261" t="str">
        <f>IF(wskakunin_dairi2_JIMU_NO="","",wskakunin_dairi2_JIMU_NO)</f>
        <v/>
      </c>
      <c r="H223" s="22"/>
    </row>
    <row r="224" spans="1:8" ht="12">
      <c r="A224" s="64"/>
      <c r="B224" s="79" t="s">
        <v>431</v>
      </c>
      <c r="C224" s="21" t="s">
        <v>473</v>
      </c>
      <c r="D224" s="261" t="s">
        <v>112</v>
      </c>
      <c r="E224" s="21" t="s">
        <v>474</v>
      </c>
      <c r="F224" s="261" t="str">
        <f>IF(wskakunin_dairi2_JIMU_NAME="", "",wskakunin_dairi2_JIMU_NAME)</f>
        <v/>
      </c>
      <c r="H224" s="22"/>
    </row>
    <row r="225" spans="1:8" ht="12">
      <c r="A225" s="64"/>
      <c r="B225" s="79" t="s">
        <v>205</v>
      </c>
      <c r="C225" s="21" t="s">
        <v>475</v>
      </c>
      <c r="D225" s="263" t="s">
        <v>112</v>
      </c>
      <c r="E225" s="21" t="s">
        <v>476</v>
      </c>
      <c r="F225" s="261" t="str">
        <f>IF(wskakunin_dairi2_ZIP="", "", wskakunin_dairi2_ZIP)</f>
        <v/>
      </c>
      <c r="H225" s="22"/>
    </row>
    <row r="226" spans="1:8" ht="12">
      <c r="A226" s="64"/>
      <c r="B226" s="79" t="s">
        <v>438</v>
      </c>
      <c r="C226" s="21" t="s">
        <v>477</v>
      </c>
      <c r="D226" s="261" t="s">
        <v>112</v>
      </c>
      <c r="E226" s="21" t="s">
        <v>478</v>
      </c>
      <c r="F226" s="261" t="str">
        <f>IF(wskakunin_dairi2__address="", "", wskakunin_dairi2__address)</f>
        <v/>
      </c>
      <c r="H226" s="22"/>
    </row>
    <row r="227" spans="1:8" ht="12">
      <c r="A227" s="64"/>
      <c r="B227" s="79" t="s">
        <v>214</v>
      </c>
      <c r="C227" s="21" t="s">
        <v>479</v>
      </c>
      <c r="D227" s="263" t="s">
        <v>112</v>
      </c>
      <c r="E227" s="21" t="s">
        <v>480</v>
      </c>
      <c r="F227" s="261" t="str">
        <f>IF(wskakunin_dairi2_TEL="", "", wskakunin_dairi2_TEL)</f>
        <v/>
      </c>
      <c r="H227" s="22"/>
    </row>
    <row r="228" spans="1:8" ht="12">
      <c r="A228" s="64"/>
      <c r="B228" s="79" t="s">
        <v>446</v>
      </c>
      <c r="C228" s="21" t="s">
        <v>481</v>
      </c>
      <c r="D228" s="263" t="s">
        <v>112</v>
      </c>
      <c r="E228" s="21" t="s">
        <v>482</v>
      </c>
      <c r="F228" s="261" t="str">
        <f>IF(wskakunin_dairi2_FAX="", "", wskakunin_dairi2_FAX)</f>
        <v/>
      </c>
      <c r="H228" s="22"/>
    </row>
    <row r="229" spans="1:8" ht="12">
      <c r="A229" s="64"/>
      <c r="B229" s="116" t="s">
        <v>449</v>
      </c>
      <c r="D229" s="22"/>
      <c r="E229" s="21" t="s">
        <v>483</v>
      </c>
      <c r="F229" s="261" t="str">
        <f>IF(wskakunin_dairi2_NAME&amp;wskakunin_dairi2_JIMU_NAME="","",IF(wskakunin_dairi2_JIMU_NAME="",wskakunin_dairi2_NAME,wskakunin_dairi2_JIMU_NAME&amp;"　"&amp;wskakunin_dairi2_NAME))</f>
        <v/>
      </c>
      <c r="H229" s="22"/>
    </row>
    <row r="230" spans="1:8" ht="12">
      <c r="A230" s="65"/>
      <c r="B230" s="117"/>
      <c r="D230" s="37"/>
      <c r="F230" s="22"/>
      <c r="H230" s="22"/>
    </row>
    <row r="231" spans="1:8" ht="12">
      <c r="A231" s="55" t="s">
        <v>484</v>
      </c>
      <c r="B231" s="114"/>
      <c r="H231" s="22"/>
    </row>
    <row r="232" spans="1:8" ht="12">
      <c r="A232" s="115"/>
      <c r="B232" s="79" t="s">
        <v>392</v>
      </c>
      <c r="C232" s="21" t="s">
        <v>485</v>
      </c>
      <c r="D232" s="261" t="s">
        <v>112</v>
      </c>
      <c r="E232" s="21" t="s">
        <v>486</v>
      </c>
      <c r="F232" s="261" t="str">
        <f>IF(wskakunin_dairi3__sikaku="", "", wskakunin_dairi3__sikaku)</f>
        <v/>
      </c>
      <c r="H232" s="22"/>
    </row>
    <row r="233" spans="1:8" ht="12">
      <c r="A233" s="115"/>
      <c r="B233" s="79" t="s">
        <v>396</v>
      </c>
      <c r="C233" s="21" t="s">
        <v>487</v>
      </c>
      <c r="D233" s="261" t="s">
        <v>112</v>
      </c>
      <c r="E233" s="21" t="s">
        <v>488</v>
      </c>
      <c r="F233" s="261" t="str">
        <f>IF(wskakunin_dairi3_SIKAKU__label="","",wskakunin_dairi3_SIKAKU__label)</f>
        <v/>
      </c>
      <c r="H233" s="22"/>
    </row>
    <row r="234" spans="1:8" ht="12">
      <c r="A234" s="115"/>
      <c r="B234" s="79" t="s">
        <v>400</v>
      </c>
      <c r="C234" s="21" t="s">
        <v>489</v>
      </c>
      <c r="D234" s="261" t="s">
        <v>112</v>
      </c>
      <c r="E234" s="21" t="s">
        <v>490</v>
      </c>
      <c r="F234" s="261" t="str">
        <f>IF(wskakunin_dairi3_TOUROKU_KIKAN__label="","",wskakunin_dairi3_TOUROKU_KIKAN__label)</f>
        <v/>
      </c>
      <c r="H234" s="22"/>
    </row>
    <row r="235" spans="1:8" ht="12">
      <c r="A235" s="115"/>
      <c r="B235" s="79" t="s">
        <v>404</v>
      </c>
      <c r="C235" s="21" t="s">
        <v>491</v>
      </c>
      <c r="D235" s="263" t="s">
        <v>112</v>
      </c>
      <c r="E235" s="21" t="s">
        <v>492</v>
      </c>
      <c r="F235" s="261" t="str">
        <f>IF(wskakunin_dairi3_KENTIKUSI_NO="","",wskakunin_dairi3_KENTIKUSI_NO)</f>
        <v/>
      </c>
      <c r="H235" s="22"/>
    </row>
    <row r="236" spans="1:8" ht="12">
      <c r="A236" s="64"/>
      <c r="B236" s="79" t="s">
        <v>194</v>
      </c>
      <c r="C236" s="21" t="s">
        <v>493</v>
      </c>
      <c r="D236" s="261" t="s">
        <v>112</v>
      </c>
      <c r="E236" s="21" t="s">
        <v>494</v>
      </c>
      <c r="F236" s="261" t="str">
        <f>IF(wskakunin_dairi3_NAME="", "", wskakunin_dairi3_NAME)</f>
        <v/>
      </c>
      <c r="H236" s="22"/>
    </row>
    <row r="237" spans="1:8" ht="12">
      <c r="A237" s="64"/>
      <c r="B237" s="79" t="s">
        <v>413</v>
      </c>
      <c r="C237" s="21" t="s">
        <v>495</v>
      </c>
      <c r="D237" s="261" t="s">
        <v>112</v>
      </c>
      <c r="E237" s="21" t="s">
        <v>496</v>
      </c>
      <c r="F237" s="261" t="str">
        <f>IF(wskakunin_dairi3_NAME_KANA="", "", wskakunin_dairi3_NAME_KANA)</f>
        <v/>
      </c>
      <c r="H237" s="22"/>
    </row>
    <row r="238" spans="1:8" ht="12">
      <c r="A238" s="64"/>
      <c r="B238" s="79" t="s">
        <v>416</v>
      </c>
      <c r="C238" s="21" t="s">
        <v>497</v>
      </c>
      <c r="D238" s="261" t="s">
        <v>112</v>
      </c>
      <c r="E238" s="21" t="s">
        <v>498</v>
      </c>
      <c r="F238" s="261" t="str">
        <f>IF(wskakunin_dairi3_JIMU__sikaku="", "", wskakunin_dairi3_JIMU__sikaku)</f>
        <v/>
      </c>
      <c r="H238" s="22"/>
    </row>
    <row r="239" spans="1:8" ht="12">
      <c r="A239" s="64"/>
      <c r="B239" s="79" t="s">
        <v>420</v>
      </c>
      <c r="C239" s="21" t="s">
        <v>499</v>
      </c>
      <c r="D239" s="261" t="s">
        <v>112</v>
      </c>
      <c r="E239" s="21" t="s">
        <v>500</v>
      </c>
      <c r="F239" s="261" t="str">
        <f>IF(wskakunin_dairi3_JIMU_SIKAKU__label="","",wskakunin_dairi3_JIMU_SIKAKU__label)</f>
        <v/>
      </c>
      <c r="H239" s="22"/>
    </row>
    <row r="240" spans="1:8" ht="12">
      <c r="A240" s="64"/>
      <c r="B240" s="79" t="s">
        <v>423</v>
      </c>
      <c r="C240" s="21" t="s">
        <v>501</v>
      </c>
      <c r="D240" s="261" t="s">
        <v>112</v>
      </c>
      <c r="E240" s="21" t="s">
        <v>502</v>
      </c>
      <c r="F240" s="261" t="str">
        <f>IF(wskakunin_dairi3_JIMU_TOUROKU_KIKAN__label="","",wskakunin_dairi3_JIMU_TOUROKU_KIKAN__label)</f>
        <v/>
      </c>
      <c r="H240" s="22"/>
    </row>
    <row r="241" spans="1:8" ht="12">
      <c r="A241" s="64"/>
      <c r="B241" s="79" t="s">
        <v>427</v>
      </c>
      <c r="C241" s="21" t="s">
        <v>503</v>
      </c>
      <c r="D241" s="263" t="s">
        <v>112</v>
      </c>
      <c r="E241" s="21" t="s">
        <v>504</v>
      </c>
      <c r="F241" s="261" t="str">
        <f>IF(wskakunin_dairi3_JIMU_NO="","",wskakunin_dairi3_JIMU_NO)</f>
        <v/>
      </c>
      <c r="H241" s="22"/>
    </row>
    <row r="242" spans="1:8" ht="12">
      <c r="A242" s="64"/>
      <c r="B242" s="79" t="s">
        <v>431</v>
      </c>
      <c r="C242" s="21" t="s">
        <v>505</v>
      </c>
      <c r="D242" s="261" t="s">
        <v>112</v>
      </c>
      <c r="E242" s="21" t="s">
        <v>506</v>
      </c>
      <c r="F242" s="261" t="str">
        <f>IF(wskakunin_dairi3_JIMU_NAME="", "",wskakunin_dairi3_JIMU_NAME)</f>
        <v/>
      </c>
      <c r="H242" s="22"/>
    </row>
    <row r="243" spans="1:8" ht="12">
      <c r="A243" s="64"/>
      <c r="B243" s="79" t="s">
        <v>205</v>
      </c>
      <c r="C243" s="21" t="s">
        <v>507</v>
      </c>
      <c r="D243" s="263" t="s">
        <v>112</v>
      </c>
      <c r="E243" s="21" t="s">
        <v>508</v>
      </c>
      <c r="F243" s="261" t="str">
        <f>IF(wskakunin_dairi3_ZIP="", "", wskakunin_dairi3_ZIP)</f>
        <v/>
      </c>
      <c r="H243" s="22"/>
    </row>
    <row r="244" spans="1:8" ht="12">
      <c r="A244" s="64"/>
      <c r="B244" s="79" t="s">
        <v>438</v>
      </c>
      <c r="C244" s="21" t="s">
        <v>509</v>
      </c>
      <c r="D244" s="261" t="s">
        <v>112</v>
      </c>
      <c r="E244" s="21" t="s">
        <v>510</v>
      </c>
      <c r="F244" s="261" t="str">
        <f>IF(wskakunin_dairi3__address="", "", wskakunin_dairi3__address)</f>
        <v/>
      </c>
      <c r="H244" s="22"/>
    </row>
    <row r="245" spans="1:8" ht="12">
      <c r="A245" s="64"/>
      <c r="B245" s="79" t="s">
        <v>214</v>
      </c>
      <c r="C245" s="21" t="s">
        <v>511</v>
      </c>
      <c r="D245" s="263" t="s">
        <v>112</v>
      </c>
      <c r="E245" s="21" t="s">
        <v>512</v>
      </c>
      <c r="F245" s="261" t="str">
        <f>IF(wskakunin_dairi3_TEL="", "", wskakunin_dairi3_TEL)</f>
        <v/>
      </c>
      <c r="H245" s="22"/>
    </row>
    <row r="246" spans="1:8" ht="12">
      <c r="A246" s="64"/>
      <c r="B246" s="79" t="s">
        <v>446</v>
      </c>
      <c r="C246" s="21" t="s">
        <v>513</v>
      </c>
      <c r="D246" s="263" t="s">
        <v>112</v>
      </c>
      <c r="E246" s="21" t="s">
        <v>514</v>
      </c>
      <c r="F246" s="261" t="str">
        <f>IF(wskakunin_dairi3_FAX="", "", wskakunin_dairi3_FAX)</f>
        <v/>
      </c>
      <c r="H246" s="22"/>
    </row>
    <row r="247" spans="1:8" ht="12">
      <c r="A247" s="64"/>
      <c r="B247" s="116" t="s">
        <v>449</v>
      </c>
      <c r="D247" s="22"/>
      <c r="E247" s="21" t="s">
        <v>515</v>
      </c>
      <c r="F247" s="261" t="str">
        <f>IF(wskakunin_dairi3_NAME&amp;wskakunin_dairi3_JIMU_NAME="","",IF(wskakunin_dairi3_JIMU_NAME="",wskakunin_dairi3_NAME,wskakunin_dairi3_JIMU_NAME&amp;"　"&amp;wskakunin_dairi3_NAME))</f>
        <v/>
      </c>
      <c r="H247" s="22"/>
    </row>
    <row r="248" spans="1:8" ht="12">
      <c r="A248" s="65"/>
      <c r="B248" s="117"/>
      <c r="D248" s="37"/>
      <c r="F248" s="22"/>
      <c r="H248" s="22"/>
    </row>
    <row r="249" spans="1:8" ht="12">
      <c r="A249" s="55" t="s">
        <v>516</v>
      </c>
      <c r="B249" s="114"/>
      <c r="H249" s="22"/>
    </row>
    <row r="250" spans="1:8" ht="12">
      <c r="A250" s="115"/>
      <c r="B250" s="79" t="s">
        <v>392</v>
      </c>
      <c r="C250" s="21" t="s">
        <v>517</v>
      </c>
      <c r="D250" s="261" t="s">
        <v>112</v>
      </c>
      <c r="E250" s="21" t="s">
        <v>518</v>
      </c>
      <c r="F250" s="261" t="str">
        <f>IF(wskakunin_dairi4__sikaku="", "", wskakunin_dairi4__sikaku)</f>
        <v/>
      </c>
      <c r="H250" s="22"/>
    </row>
    <row r="251" spans="1:8" ht="12">
      <c r="A251" s="115"/>
      <c r="B251" s="79" t="s">
        <v>396</v>
      </c>
      <c r="C251" s="21" t="s">
        <v>519</v>
      </c>
      <c r="D251" s="261" t="s">
        <v>112</v>
      </c>
      <c r="E251" s="21" t="s">
        <v>520</v>
      </c>
      <c r="F251" s="261" t="str">
        <f>IF(wskakunin_dairi4_SIKAKU__label="","",wskakunin_dairi4_SIKAKU__label)</f>
        <v/>
      </c>
      <c r="H251" s="22"/>
    </row>
    <row r="252" spans="1:8" ht="12">
      <c r="A252" s="115"/>
      <c r="B252" s="79" t="s">
        <v>400</v>
      </c>
      <c r="C252" s="21" t="s">
        <v>521</v>
      </c>
      <c r="D252" s="261" t="s">
        <v>112</v>
      </c>
      <c r="E252" s="21" t="s">
        <v>522</v>
      </c>
      <c r="F252" s="261" t="str">
        <f>IF(wskakunin_dairi4_TOUROKU_KIKAN__label="","",wskakunin_dairi4_TOUROKU_KIKAN__label)</f>
        <v/>
      </c>
      <c r="H252" s="22"/>
    </row>
    <row r="253" spans="1:8" ht="12">
      <c r="A253" s="115"/>
      <c r="B253" s="79" t="s">
        <v>404</v>
      </c>
      <c r="C253" s="21" t="s">
        <v>523</v>
      </c>
      <c r="D253" s="263" t="s">
        <v>112</v>
      </c>
      <c r="E253" s="21" t="s">
        <v>524</v>
      </c>
      <c r="F253" s="261" t="str">
        <f>IF(wskakunin_dairi4_KENTIKUSI_NO="","",wskakunin_dairi4_KENTIKUSI_NO)</f>
        <v/>
      </c>
      <c r="H253" s="22"/>
    </row>
    <row r="254" spans="1:8" ht="12">
      <c r="A254" s="64"/>
      <c r="B254" s="79" t="s">
        <v>194</v>
      </c>
      <c r="C254" s="21" t="s">
        <v>525</v>
      </c>
      <c r="D254" s="261" t="s">
        <v>112</v>
      </c>
      <c r="E254" s="21" t="s">
        <v>526</v>
      </c>
      <c r="F254" s="261" t="str">
        <f>IF(wskakunin_dairi4_NAME="", "", wskakunin_dairi4_NAME)</f>
        <v/>
      </c>
      <c r="H254" s="22"/>
    </row>
    <row r="255" spans="1:8" ht="12">
      <c r="A255" s="64"/>
      <c r="B255" s="79" t="s">
        <v>413</v>
      </c>
      <c r="C255" s="21" t="s">
        <v>527</v>
      </c>
      <c r="D255" s="261" t="s">
        <v>112</v>
      </c>
      <c r="E255" s="21" t="s">
        <v>528</v>
      </c>
      <c r="F255" s="261" t="str">
        <f>IF(wskakunin_dairi4_NAME_KANA="", "", wskakunin_dairi4_NAME_KANA)</f>
        <v/>
      </c>
      <c r="H255" s="22"/>
    </row>
    <row r="256" spans="1:8" ht="12">
      <c r="A256" s="64"/>
      <c r="B256" s="79" t="s">
        <v>416</v>
      </c>
      <c r="C256" s="21" t="s">
        <v>529</v>
      </c>
      <c r="D256" s="261" t="s">
        <v>112</v>
      </c>
      <c r="E256" s="21" t="s">
        <v>530</v>
      </c>
      <c r="F256" s="261" t="str">
        <f>IF(wskakunin_dairi4_JIMU__sikaku="", "", wskakunin_dairi4_JIMU__sikaku)</f>
        <v/>
      </c>
      <c r="H256" s="22"/>
    </row>
    <row r="257" spans="1:8" ht="12">
      <c r="A257" s="64"/>
      <c r="B257" s="79" t="s">
        <v>420</v>
      </c>
      <c r="C257" s="21" t="s">
        <v>531</v>
      </c>
      <c r="D257" s="261" t="s">
        <v>112</v>
      </c>
      <c r="E257" s="21" t="s">
        <v>532</v>
      </c>
      <c r="F257" s="261" t="str">
        <f>IF(wskakunin_dairi4_JIMU_SIKAKU__label="","",wskakunin_dairi4_JIMU_SIKAKU__label)</f>
        <v/>
      </c>
      <c r="H257" s="22"/>
    </row>
    <row r="258" spans="1:8" ht="12">
      <c r="A258" s="64"/>
      <c r="B258" s="79" t="s">
        <v>423</v>
      </c>
      <c r="C258" s="21" t="s">
        <v>533</v>
      </c>
      <c r="D258" s="261" t="s">
        <v>112</v>
      </c>
      <c r="E258" s="21" t="s">
        <v>534</v>
      </c>
      <c r="F258" s="261" t="str">
        <f>IF(wskakunin_dairi4_JIMU_TOUROKU_KIKAN__label="","",wskakunin_dairi4_JIMU_TOUROKU_KIKAN__label)</f>
        <v/>
      </c>
      <c r="H258" s="22"/>
    </row>
    <row r="259" spans="1:8" ht="12">
      <c r="A259" s="64"/>
      <c r="B259" s="79" t="s">
        <v>427</v>
      </c>
      <c r="C259" s="21" t="s">
        <v>535</v>
      </c>
      <c r="D259" s="263" t="s">
        <v>112</v>
      </c>
      <c r="E259" s="21" t="s">
        <v>536</v>
      </c>
      <c r="F259" s="261" t="str">
        <f>IF(wskakunin_dairi4_JIMU_NO="","",wskakunin_dairi4_JIMU_NO)</f>
        <v/>
      </c>
      <c r="H259" s="22"/>
    </row>
    <row r="260" spans="1:8" ht="12">
      <c r="A260" s="64"/>
      <c r="B260" s="79" t="s">
        <v>431</v>
      </c>
      <c r="C260" s="21" t="s">
        <v>537</v>
      </c>
      <c r="D260" s="261" t="s">
        <v>112</v>
      </c>
      <c r="E260" s="21" t="s">
        <v>538</v>
      </c>
      <c r="F260" s="261" t="str">
        <f>IF(wskakunin_dairi4_JIMU_NAME="", "",wskakunin_dairi4_JIMU_NAME)</f>
        <v/>
      </c>
      <c r="H260" s="22"/>
    </row>
    <row r="261" spans="1:8" ht="12">
      <c r="A261" s="64"/>
      <c r="B261" s="79" t="s">
        <v>205</v>
      </c>
      <c r="C261" s="21" t="s">
        <v>539</v>
      </c>
      <c r="D261" s="263" t="s">
        <v>112</v>
      </c>
      <c r="E261" s="21" t="s">
        <v>540</v>
      </c>
      <c r="F261" s="261" t="str">
        <f>IF(wskakunin_dairi4_ZIP="", "", wskakunin_dairi4_ZIP)</f>
        <v/>
      </c>
      <c r="H261" s="22"/>
    </row>
    <row r="262" spans="1:8" ht="12">
      <c r="A262" s="64"/>
      <c r="B262" s="79" t="s">
        <v>438</v>
      </c>
      <c r="C262" s="21" t="s">
        <v>541</v>
      </c>
      <c r="D262" s="261" t="s">
        <v>112</v>
      </c>
      <c r="E262" s="21" t="s">
        <v>542</v>
      </c>
      <c r="F262" s="261" t="str">
        <f>IF(wskakunin_dairi4__address="", "", wskakunin_dairi4__address)</f>
        <v/>
      </c>
      <c r="H262" s="22"/>
    </row>
    <row r="263" spans="1:8" ht="12">
      <c r="A263" s="64"/>
      <c r="B263" s="79" t="s">
        <v>214</v>
      </c>
      <c r="C263" s="21" t="s">
        <v>543</v>
      </c>
      <c r="D263" s="263" t="s">
        <v>112</v>
      </c>
      <c r="E263" s="21" t="s">
        <v>544</v>
      </c>
      <c r="F263" s="261" t="str">
        <f>IF(wskakunin_dairi4_TEL="", "", wskakunin_dairi4_TEL)</f>
        <v/>
      </c>
      <c r="H263" s="22"/>
    </row>
    <row r="264" spans="1:8" ht="12">
      <c r="A264" s="64"/>
      <c r="B264" s="79" t="s">
        <v>446</v>
      </c>
      <c r="C264" s="21" t="s">
        <v>545</v>
      </c>
      <c r="D264" s="263" t="s">
        <v>112</v>
      </c>
      <c r="E264" s="21" t="s">
        <v>546</v>
      </c>
      <c r="F264" s="261" t="str">
        <f>IF(wskakunin_dairi4_FAX="", "", wskakunin_dairi4_FAX)</f>
        <v/>
      </c>
      <c r="H264" s="22"/>
    </row>
    <row r="265" spans="1:8" ht="12">
      <c r="A265" s="64"/>
      <c r="B265" s="116" t="s">
        <v>449</v>
      </c>
      <c r="D265" s="22"/>
      <c r="E265" s="21" t="s">
        <v>547</v>
      </c>
      <c r="F265" s="261" t="str">
        <f>IF(wskakunin_dairi4_NAME&amp;wskakunin_dairi4_JIMU_NAME="","",IF(wskakunin_dairi4_JIMU_NAME="",wskakunin_dairi4_NAME,wskakunin_dairi4_JIMU_NAME&amp;"　"&amp;wskakunin_dairi4_NAME))</f>
        <v/>
      </c>
      <c r="H265" s="22"/>
    </row>
    <row r="266" spans="1:8" ht="12">
      <c r="A266" s="65"/>
      <c r="B266" s="117"/>
      <c r="D266" s="37"/>
      <c r="F266" s="22"/>
      <c r="H266" s="22"/>
    </row>
    <row r="267" spans="1:8" ht="12">
      <c r="A267" s="55" t="s">
        <v>548</v>
      </c>
      <c r="B267" s="114"/>
      <c r="H267" s="22"/>
    </row>
    <row r="268" spans="1:8" ht="12">
      <c r="A268" s="115"/>
      <c r="B268" s="79" t="s">
        <v>392</v>
      </c>
      <c r="C268" s="21" t="s">
        <v>549</v>
      </c>
      <c r="D268" s="261" t="s">
        <v>112</v>
      </c>
      <c r="E268" s="21" t="s">
        <v>550</v>
      </c>
      <c r="F268" s="261" t="str">
        <f>IF(wskakunin_dairi5__sikaku="", "", wskakunin_dairi5__sikaku)</f>
        <v/>
      </c>
      <c r="H268" s="22"/>
    </row>
    <row r="269" spans="1:8" ht="12">
      <c r="A269" s="115"/>
      <c r="B269" s="79" t="s">
        <v>396</v>
      </c>
      <c r="C269" s="21" t="s">
        <v>551</v>
      </c>
      <c r="D269" s="261" t="s">
        <v>112</v>
      </c>
      <c r="E269" s="21" t="s">
        <v>552</v>
      </c>
      <c r="F269" s="261" t="str">
        <f>IF(wskakunin_dairi5_SIKAKU__label="","",wskakunin_dairi5_SIKAKU__label)</f>
        <v/>
      </c>
      <c r="H269" s="22"/>
    </row>
    <row r="270" spans="1:8" ht="12">
      <c r="A270" s="115"/>
      <c r="B270" s="79" t="s">
        <v>400</v>
      </c>
      <c r="C270" s="21" t="s">
        <v>553</v>
      </c>
      <c r="D270" s="261" t="s">
        <v>112</v>
      </c>
      <c r="E270" s="21" t="s">
        <v>554</v>
      </c>
      <c r="F270" s="261" t="str">
        <f>IF(wskakunin_dairi5_TOUROKU_KIKAN__label="","",wskakunin_dairi5_TOUROKU_KIKAN__label)</f>
        <v/>
      </c>
      <c r="H270" s="22"/>
    </row>
    <row r="271" spans="1:8" ht="12">
      <c r="A271" s="115"/>
      <c r="B271" s="79" t="s">
        <v>404</v>
      </c>
      <c r="C271" s="21" t="s">
        <v>555</v>
      </c>
      <c r="D271" s="263" t="s">
        <v>112</v>
      </c>
      <c r="E271" s="21" t="s">
        <v>556</v>
      </c>
      <c r="F271" s="261" t="str">
        <f>IF(wskakunin_dairi5_KENTIKUSI_NO="","",wskakunin_dairi5_KENTIKUSI_NO)</f>
        <v/>
      </c>
      <c r="H271" s="22"/>
    </row>
    <row r="272" spans="1:8" ht="12">
      <c r="A272" s="64"/>
      <c r="B272" s="79" t="s">
        <v>194</v>
      </c>
      <c r="C272" s="21" t="s">
        <v>557</v>
      </c>
      <c r="D272" s="261" t="s">
        <v>112</v>
      </c>
      <c r="E272" s="21" t="s">
        <v>558</v>
      </c>
      <c r="F272" s="261" t="str">
        <f>IF(wskakunin_dairi5_NAME="", "", wskakunin_dairi5_NAME)</f>
        <v/>
      </c>
      <c r="H272" s="22"/>
    </row>
    <row r="273" spans="1:8" ht="12">
      <c r="A273" s="64"/>
      <c r="B273" s="79" t="s">
        <v>413</v>
      </c>
      <c r="C273" s="21" t="s">
        <v>559</v>
      </c>
      <c r="D273" s="261" t="s">
        <v>112</v>
      </c>
      <c r="E273" s="21" t="s">
        <v>560</v>
      </c>
      <c r="F273" s="261" t="str">
        <f>IF(wskakunin_dairi5_NAME_KANA="", "", wskakunin_dairi5_NAME_KANA)</f>
        <v/>
      </c>
      <c r="H273" s="22"/>
    </row>
    <row r="274" spans="1:8" ht="12">
      <c r="A274" s="64"/>
      <c r="B274" s="79" t="s">
        <v>416</v>
      </c>
      <c r="C274" s="21" t="s">
        <v>561</v>
      </c>
      <c r="D274" s="261" t="s">
        <v>112</v>
      </c>
      <c r="E274" s="21" t="s">
        <v>562</v>
      </c>
      <c r="F274" s="261" t="str">
        <f>IF(wskakunin_dairi5_JIMU__sikaku="", "", wskakunin_dairi5_JIMU__sikaku)</f>
        <v/>
      </c>
      <c r="H274" s="22"/>
    </row>
    <row r="275" spans="1:8" ht="12">
      <c r="A275" s="64"/>
      <c r="B275" s="79" t="s">
        <v>420</v>
      </c>
      <c r="C275" s="21" t="s">
        <v>563</v>
      </c>
      <c r="D275" s="261" t="s">
        <v>112</v>
      </c>
      <c r="E275" s="21" t="s">
        <v>564</v>
      </c>
      <c r="F275" s="261" t="str">
        <f>IF(wskakunin_dairi5_JIMU_SIKAKU__label="","",wskakunin_dairi5_JIMU_SIKAKU__label)</f>
        <v/>
      </c>
      <c r="H275" s="22"/>
    </row>
    <row r="276" spans="1:8" ht="12">
      <c r="A276" s="64"/>
      <c r="B276" s="79" t="s">
        <v>423</v>
      </c>
      <c r="C276" s="21" t="s">
        <v>565</v>
      </c>
      <c r="D276" s="261" t="s">
        <v>112</v>
      </c>
      <c r="E276" s="21" t="s">
        <v>566</v>
      </c>
      <c r="F276" s="261" t="str">
        <f>IF(wskakunin_dairi5_JIMU_TOUROKU_KIKAN__label="","",wskakunin_dairi5_JIMU_TOUROKU_KIKAN__label)</f>
        <v/>
      </c>
      <c r="H276" s="22"/>
    </row>
    <row r="277" spans="1:8" ht="12">
      <c r="A277" s="64"/>
      <c r="B277" s="79" t="s">
        <v>427</v>
      </c>
      <c r="C277" s="21" t="s">
        <v>567</v>
      </c>
      <c r="D277" s="263" t="s">
        <v>112</v>
      </c>
      <c r="E277" s="21" t="s">
        <v>568</v>
      </c>
      <c r="F277" s="261" t="str">
        <f>IF(wskakunin_dairi5_JIMU_NO="","",wskakunin_dairi5_JIMU_NO)</f>
        <v/>
      </c>
      <c r="H277" s="22"/>
    </row>
    <row r="278" spans="1:8" ht="12">
      <c r="A278" s="64"/>
      <c r="B278" s="79" t="s">
        <v>431</v>
      </c>
      <c r="C278" s="21" t="s">
        <v>569</v>
      </c>
      <c r="D278" s="261" t="s">
        <v>112</v>
      </c>
      <c r="E278" s="21" t="s">
        <v>570</v>
      </c>
      <c r="F278" s="261" t="str">
        <f>IF(wskakunin_dairi5_JIMU_NAME="", "",wskakunin_dairi5_JIMU_NAME)</f>
        <v/>
      </c>
      <c r="H278" s="22"/>
    </row>
    <row r="279" spans="1:8" ht="12">
      <c r="A279" s="64"/>
      <c r="B279" s="79" t="s">
        <v>205</v>
      </c>
      <c r="C279" s="21" t="s">
        <v>571</v>
      </c>
      <c r="D279" s="263" t="s">
        <v>112</v>
      </c>
      <c r="E279" s="21" t="s">
        <v>572</v>
      </c>
      <c r="F279" s="261" t="str">
        <f>IF(wskakunin_dairi5_ZIP="", "", wskakunin_dairi5_ZIP)</f>
        <v/>
      </c>
      <c r="H279" s="22"/>
    </row>
    <row r="280" spans="1:8" ht="12">
      <c r="A280" s="64"/>
      <c r="B280" s="79" t="s">
        <v>438</v>
      </c>
      <c r="C280" s="21" t="s">
        <v>573</v>
      </c>
      <c r="D280" s="261" t="s">
        <v>112</v>
      </c>
      <c r="E280" s="21" t="s">
        <v>574</v>
      </c>
      <c r="F280" s="261" t="str">
        <f>IF(wskakunin_dairi5__address="", "", wskakunin_dairi5__address)</f>
        <v/>
      </c>
      <c r="H280" s="22"/>
    </row>
    <row r="281" spans="1:8" ht="12">
      <c r="A281" s="64"/>
      <c r="B281" s="79" t="s">
        <v>214</v>
      </c>
      <c r="C281" s="21" t="s">
        <v>575</v>
      </c>
      <c r="D281" s="263" t="s">
        <v>112</v>
      </c>
      <c r="E281" s="21" t="s">
        <v>576</v>
      </c>
      <c r="F281" s="261" t="str">
        <f>IF(wskakunin_dairi5_TEL="", "", wskakunin_dairi5_TEL)</f>
        <v/>
      </c>
      <c r="H281" s="22"/>
    </row>
    <row r="282" spans="1:8" ht="12">
      <c r="A282" s="64"/>
      <c r="B282" s="79" t="s">
        <v>446</v>
      </c>
      <c r="C282" s="21" t="s">
        <v>577</v>
      </c>
      <c r="D282" s="263" t="s">
        <v>112</v>
      </c>
      <c r="E282" s="21" t="s">
        <v>578</v>
      </c>
      <c r="F282" s="261" t="str">
        <f>IF(wskakunin_dairi5_FAX="", "", wskakunin_dairi5_FAX)</f>
        <v/>
      </c>
      <c r="H282" s="22"/>
    </row>
    <row r="283" spans="1:8" ht="12">
      <c r="A283" s="64"/>
      <c r="B283" s="116" t="s">
        <v>449</v>
      </c>
      <c r="C283" s="22"/>
      <c r="D283" s="22"/>
      <c r="E283" s="21" t="s">
        <v>579</v>
      </c>
      <c r="F283" s="261" t="str">
        <f>IF(wskakunin_dairi5_NAME&amp;wskakunin_dairi5_JIMU_NAME="","",IF(wskakunin_dairi5_JIMU_NAME="",wskakunin_dairi5_NAME,wskakunin_dairi5_JIMU_NAME&amp;"　"&amp;wskakunin_dairi5_NAME))</f>
        <v/>
      </c>
      <c r="H283" s="22"/>
    </row>
    <row r="284" spans="1:8" ht="12">
      <c r="A284" s="65"/>
      <c r="B284" s="117"/>
      <c r="D284" s="37"/>
      <c r="F284" s="22"/>
      <c r="G284" s="22"/>
      <c r="H284" s="22"/>
    </row>
    <row r="285" spans="1:8" ht="12">
      <c r="A285" s="8" t="s">
        <v>580</v>
      </c>
      <c r="B285" s="52"/>
      <c r="G285" s="22"/>
      <c r="H285" s="22"/>
    </row>
    <row r="286" spans="1:8" ht="12">
      <c r="A286" s="30"/>
      <c r="B286" s="80" t="s">
        <v>392</v>
      </c>
      <c r="C286" s="21" t="s">
        <v>581</v>
      </c>
      <c r="D286" s="162" t="s">
        <v>394</v>
      </c>
      <c r="E286" s="21" t="s">
        <v>582</v>
      </c>
      <c r="F286" s="162" t="str">
        <f>IF(wskakunin_sekkei1__sikaku="", "", wskakunin_sekkei1__sikaku)</f>
        <v>一級建築士大臣登録第001100号</v>
      </c>
      <c r="G286" s="22"/>
      <c r="H286" s="22"/>
    </row>
    <row r="287" spans="1:8" ht="12">
      <c r="A287" s="35"/>
      <c r="B287" s="80" t="s">
        <v>396</v>
      </c>
      <c r="C287" s="21" t="s">
        <v>583</v>
      </c>
      <c r="D287" s="162" t="s">
        <v>398</v>
      </c>
      <c r="E287" s="21" t="s">
        <v>584</v>
      </c>
      <c r="F287" s="162" t="str">
        <f>IF(wskakunin_sekkei1_SIKAKU__label="","",wskakunin_sekkei1_SIKAKU__label)</f>
        <v>一級</v>
      </c>
      <c r="G287" s="22"/>
      <c r="H287" s="22"/>
    </row>
    <row r="288" spans="1:8" ht="12">
      <c r="A288" s="35"/>
      <c r="B288" s="80" t="s">
        <v>400</v>
      </c>
      <c r="C288" s="21" t="s">
        <v>585</v>
      </c>
      <c r="D288" s="162" t="s">
        <v>402</v>
      </c>
      <c r="E288" s="21" t="s">
        <v>586</v>
      </c>
      <c r="F288" s="162" t="str">
        <f>IF(wskakunin_sekkei1_TOUROKU_KIKAN__label="","",wskakunin_sekkei1_TOUROKU_KIKAN__label)</f>
        <v>大臣</v>
      </c>
      <c r="G288" s="22"/>
      <c r="H288" s="22"/>
    </row>
    <row r="289" spans="1:8" ht="12">
      <c r="A289" s="35"/>
      <c r="B289" s="80" t="s">
        <v>404</v>
      </c>
      <c r="C289" s="21" t="s">
        <v>587</v>
      </c>
      <c r="D289" s="255" t="s">
        <v>406</v>
      </c>
      <c r="E289" s="21" t="s">
        <v>588</v>
      </c>
      <c r="F289" s="162" t="str">
        <f>IF(wskakunin_sekkei1_KENTIKUSI_NO="","",wskakunin_sekkei1_KENTIKUSI_NO)</f>
        <v>001100</v>
      </c>
      <c r="G289" s="22"/>
      <c r="H289" s="22"/>
    </row>
    <row r="290" spans="1:8" ht="12">
      <c r="A290" s="47"/>
      <c r="B290" s="80" t="s">
        <v>194</v>
      </c>
      <c r="C290" s="21" t="s">
        <v>589</v>
      </c>
      <c r="D290" s="162" t="s">
        <v>411</v>
      </c>
      <c r="E290" s="21" t="s">
        <v>590</v>
      </c>
      <c r="F290" s="162" t="str">
        <f>IF(wskakunin_sekkei1_NAME="", "", wskakunin_sekkei1_NAME)</f>
        <v>現場　猫</v>
      </c>
      <c r="G290" s="22"/>
      <c r="H290" s="22"/>
    </row>
    <row r="291" spans="1:8" ht="12">
      <c r="A291" s="47"/>
      <c r="B291" s="80" t="s">
        <v>416</v>
      </c>
      <c r="C291" s="21" t="s">
        <v>591</v>
      </c>
      <c r="D291" s="162" t="s">
        <v>418</v>
      </c>
      <c r="E291" s="21" t="s">
        <v>592</v>
      </c>
      <c r="F291" s="162" t="str">
        <f>IF(wskakunin_sekkei1_JIMU__sikaku="", "", wskakunin_sekkei1_JIMU__sikaku)</f>
        <v>一級建築士事務所京都府知事登録第03A00000号</v>
      </c>
      <c r="G291" s="22"/>
      <c r="H291" s="22"/>
    </row>
    <row r="292" spans="1:8" ht="12">
      <c r="A292" s="47"/>
      <c r="B292" s="80" t="s">
        <v>420</v>
      </c>
      <c r="C292" s="21" t="s">
        <v>593</v>
      </c>
      <c r="D292" s="162" t="s">
        <v>398</v>
      </c>
      <c r="E292" s="21" t="s">
        <v>594</v>
      </c>
      <c r="F292" s="162" t="str">
        <f>IF(wskakunin_sekkei1_JIMU_SIKAKU__label="","",wskakunin_sekkei1_JIMU_SIKAKU__label)</f>
        <v>一級</v>
      </c>
      <c r="G292" s="22"/>
      <c r="H292" s="22"/>
    </row>
    <row r="293" spans="1:8" ht="12">
      <c r="A293" s="47"/>
      <c r="B293" s="80" t="s">
        <v>423</v>
      </c>
      <c r="C293" s="21" t="s">
        <v>595</v>
      </c>
      <c r="D293" s="162" t="s">
        <v>425</v>
      </c>
      <c r="E293" s="21" t="s">
        <v>596</v>
      </c>
      <c r="F293" s="162" t="str">
        <f>IF(wskakunin_sekkei1_JIMU_TOUROKU_KIKAN__label="","",wskakunin_sekkei1_JIMU_TOUROKU_KIKAN__label)</f>
        <v>京都府</v>
      </c>
      <c r="G293" s="22"/>
      <c r="H293" s="22"/>
    </row>
    <row r="294" spans="1:8" ht="12">
      <c r="A294" s="47"/>
      <c r="B294" s="80" t="s">
        <v>427</v>
      </c>
      <c r="C294" s="21" t="s">
        <v>597</v>
      </c>
      <c r="D294" s="255" t="s">
        <v>429</v>
      </c>
      <c r="E294" s="21" t="s">
        <v>598</v>
      </c>
      <c r="F294" s="162" t="str">
        <f>IF(wskakunin_sekkei1_JIMU_NO="","",wskakunin_sekkei1_JIMU_NO)</f>
        <v>03A00000</v>
      </c>
      <c r="G294" s="22"/>
      <c r="H294" s="22"/>
    </row>
    <row r="295" spans="1:8" ht="12">
      <c r="A295" s="63"/>
      <c r="B295" s="80" t="s">
        <v>431</v>
      </c>
      <c r="C295" s="21" t="s">
        <v>599</v>
      </c>
      <c r="D295" s="162" t="s">
        <v>433</v>
      </c>
      <c r="E295" s="21" t="s">
        <v>600</v>
      </c>
      <c r="F295" s="162" t="str">
        <f>IF(wskakunin_sekkei1_JIMU_NAME="", "", wskakunin_sekkei1_JIMU_NAME)</f>
        <v>猫建築事務所</v>
      </c>
      <c r="G295" s="22"/>
      <c r="H295" s="22"/>
    </row>
    <row r="296" spans="1:8" ht="12">
      <c r="A296" s="47"/>
      <c r="B296" s="80" t="s">
        <v>601</v>
      </c>
      <c r="D296" s="37"/>
      <c r="E296" s="21" t="s">
        <v>602</v>
      </c>
      <c r="F296" s="162" t="str">
        <f>wskakunin_sekkei1_JIMU_NAME&amp;" "&amp;wskakunin_sekkei1_NAME</f>
        <v>猫建築事務所 現場　猫</v>
      </c>
      <c r="G296" s="22"/>
      <c r="H296" s="22"/>
    </row>
    <row r="297" spans="1:8" ht="12">
      <c r="A297" s="63"/>
      <c r="B297" s="80" t="s">
        <v>205</v>
      </c>
      <c r="C297" s="21" t="s">
        <v>603</v>
      </c>
      <c r="D297" s="255" t="s">
        <v>436</v>
      </c>
      <c r="E297" s="21" t="s">
        <v>604</v>
      </c>
      <c r="F297" s="162" t="str">
        <f>IF(wskakunin_sekkei1_ZIP="", "", wskakunin_sekkei1_ZIP)</f>
        <v>604-0001</v>
      </c>
      <c r="G297" s="22"/>
      <c r="H297" s="22" t="s">
        <v>605</v>
      </c>
    </row>
    <row r="298" spans="1:8" ht="12">
      <c r="A298" s="63"/>
      <c r="B298" s="80" t="s">
        <v>438</v>
      </c>
      <c r="C298" s="21" t="s">
        <v>606</v>
      </c>
      <c r="D298" s="162" t="s">
        <v>440</v>
      </c>
      <c r="E298" s="21" t="s">
        <v>607</v>
      </c>
      <c r="F298" s="162" t="str">
        <f>IF(wskakunin_sekkei1__address="", "", wskakunin_sekkei1__address)</f>
        <v>京都府京都市中京区道場町1</v>
      </c>
      <c r="G298" s="22"/>
      <c r="H298" s="22"/>
    </row>
    <row r="299" spans="1:8" ht="12">
      <c r="A299" s="63"/>
      <c r="B299" s="80" t="s">
        <v>214</v>
      </c>
      <c r="C299" s="21" t="s">
        <v>608</v>
      </c>
      <c r="D299" s="255" t="s">
        <v>443</v>
      </c>
      <c r="E299" s="21" t="s">
        <v>609</v>
      </c>
      <c r="F299" s="162" t="str">
        <f>IF(wskakunin_sekkei1_TEL="", "", wskakunin_sekkei1_TEL)</f>
        <v>075-000-0000</v>
      </c>
      <c r="G299" s="22"/>
      <c r="H299" s="22"/>
    </row>
    <row r="300" spans="1:8" ht="12">
      <c r="A300" s="63"/>
      <c r="B300" s="80" t="s">
        <v>610</v>
      </c>
      <c r="C300" s="21" t="s">
        <v>611</v>
      </c>
      <c r="D300" s="255" t="s">
        <v>612</v>
      </c>
      <c r="E300" s="21" t="s">
        <v>613</v>
      </c>
      <c r="F300" s="162" t="str">
        <f>IF(wskakunin_sekkei1_DOC="","",wskakunin_sekkei1_DOC)</f>
        <v>全ての設計図書</v>
      </c>
      <c r="G300" s="22"/>
      <c r="H300" s="22"/>
    </row>
    <row r="301" spans="1:8" ht="12">
      <c r="A301" s="63"/>
      <c r="B301" s="88"/>
      <c r="G301" s="22"/>
      <c r="H301" s="22"/>
    </row>
    <row r="302" spans="1:8" ht="12">
      <c r="A302" s="8" t="s">
        <v>614</v>
      </c>
      <c r="B302" s="52"/>
      <c r="G302" s="22"/>
      <c r="H302" s="22"/>
    </row>
    <row r="303" spans="1:8" ht="12">
      <c r="A303" s="30"/>
      <c r="B303" s="80" t="s">
        <v>392</v>
      </c>
      <c r="C303" s="21" t="s">
        <v>615</v>
      </c>
      <c r="D303" s="162" t="s">
        <v>112</v>
      </c>
      <c r="E303" s="21" t="s">
        <v>616</v>
      </c>
      <c r="F303" s="162" t="str">
        <f>IF(wskakunin_sekkei2__sikaku="", "", wskakunin_sekkei2__sikaku)</f>
        <v/>
      </c>
      <c r="G303" s="22"/>
      <c r="H303" s="22"/>
    </row>
    <row r="304" spans="1:8" ht="12">
      <c r="A304" s="35"/>
      <c r="B304" s="80" t="s">
        <v>396</v>
      </c>
      <c r="C304" s="21" t="s">
        <v>617</v>
      </c>
      <c r="D304" s="162" t="s">
        <v>112</v>
      </c>
      <c r="E304" s="21" t="s">
        <v>618</v>
      </c>
      <c r="F304" s="162" t="str">
        <f>IF(wskakunin_sekkei2_SIKAKU__label="","",wskakunin_sekkei2_SIKAKU__label)</f>
        <v/>
      </c>
      <c r="G304" s="22"/>
      <c r="H304" s="22"/>
    </row>
    <row r="305" spans="1:8" ht="12">
      <c r="A305" s="35"/>
      <c r="B305" s="80" t="s">
        <v>400</v>
      </c>
      <c r="C305" s="21" t="s">
        <v>619</v>
      </c>
      <c r="D305" s="162" t="s">
        <v>112</v>
      </c>
      <c r="E305" s="21" t="s">
        <v>620</v>
      </c>
      <c r="F305" s="162" t="str">
        <f>IF(wskakunin_sekkei2_TOUROKU_KIKAN__label="","",wskakunin_sekkei2_TOUROKU_KIKAN__label)</f>
        <v/>
      </c>
      <c r="G305" s="22"/>
      <c r="H305" s="22"/>
    </row>
    <row r="306" spans="1:8" ht="12">
      <c r="A306" s="35"/>
      <c r="B306" s="80" t="s">
        <v>404</v>
      </c>
      <c r="C306" s="21" t="s">
        <v>621</v>
      </c>
      <c r="D306" s="255" t="s">
        <v>112</v>
      </c>
      <c r="E306" s="21" t="s">
        <v>622</v>
      </c>
      <c r="F306" s="162" t="str">
        <f>IF(wskakunin_sekkei2_KENTIKUSI_NO="","",wskakunin_sekkei2_KENTIKUSI_NO)</f>
        <v/>
      </c>
      <c r="G306" s="22"/>
      <c r="H306" s="22"/>
    </row>
    <row r="307" spans="1:8" ht="12">
      <c r="A307" s="47"/>
      <c r="B307" s="80" t="s">
        <v>194</v>
      </c>
      <c r="C307" s="21" t="s">
        <v>623</v>
      </c>
      <c r="D307" s="162" t="s">
        <v>112</v>
      </c>
      <c r="E307" s="21" t="s">
        <v>624</v>
      </c>
      <c r="F307" s="162" t="str">
        <f>IF(wskakunin_sekkei2_NAME="", "", wskakunin_sekkei2_NAME)</f>
        <v/>
      </c>
      <c r="G307" s="22"/>
      <c r="H307" s="22"/>
    </row>
    <row r="308" spans="1:8" ht="12">
      <c r="A308" s="47"/>
      <c r="B308" s="80" t="s">
        <v>416</v>
      </c>
      <c r="C308" s="21" t="s">
        <v>625</v>
      </c>
      <c r="D308" s="162" t="s">
        <v>112</v>
      </c>
      <c r="E308" s="21" t="s">
        <v>626</v>
      </c>
      <c r="F308" s="162" t="str">
        <f>IF(wskakunin_sekkei2_JIMU__sikaku="", "", wskakunin_sekkei2_JIMU__sikaku)</f>
        <v/>
      </c>
      <c r="G308" s="22"/>
      <c r="H308" s="22"/>
    </row>
    <row r="309" spans="1:8" ht="12">
      <c r="A309" s="47"/>
      <c r="B309" s="80" t="s">
        <v>420</v>
      </c>
      <c r="C309" s="21" t="s">
        <v>627</v>
      </c>
      <c r="D309" s="162" t="s">
        <v>112</v>
      </c>
      <c r="E309" s="21" t="s">
        <v>628</v>
      </c>
      <c r="F309" s="162" t="str">
        <f>IF(wskakunin_sekkei2_JIMU_SIKAKU__label="","",wskakunin_sekkei2_JIMU_SIKAKU__label)</f>
        <v/>
      </c>
      <c r="G309" s="22"/>
      <c r="H309" s="22"/>
    </row>
    <row r="310" spans="1:8" ht="12">
      <c r="A310" s="47"/>
      <c r="B310" s="80" t="s">
        <v>423</v>
      </c>
      <c r="C310" s="21" t="s">
        <v>629</v>
      </c>
      <c r="D310" s="162" t="s">
        <v>112</v>
      </c>
      <c r="E310" s="21" t="s">
        <v>630</v>
      </c>
      <c r="F310" s="162" t="str">
        <f>IF(wskakunin_sekkei2_JIMU_TOUROKU_KIKAN__label="","",wskakunin_sekkei2_JIMU_TOUROKU_KIKAN__label)</f>
        <v/>
      </c>
      <c r="G310" s="22"/>
      <c r="H310" s="22"/>
    </row>
    <row r="311" spans="1:8" ht="12">
      <c r="A311" s="47"/>
      <c r="B311" s="80" t="s">
        <v>427</v>
      </c>
      <c r="C311" s="21" t="s">
        <v>631</v>
      </c>
      <c r="D311" s="255" t="s">
        <v>112</v>
      </c>
      <c r="E311" s="21" t="s">
        <v>632</v>
      </c>
      <c r="F311" s="162" t="str">
        <f>IF(wskakunin_sekkei2_JIMU_NO="","",wskakunin_sekkei2_JIMU_NO)</f>
        <v/>
      </c>
      <c r="G311" s="22"/>
      <c r="H311" s="22"/>
    </row>
    <row r="312" spans="1:8" ht="12">
      <c r="A312" s="63"/>
      <c r="B312" s="80" t="s">
        <v>431</v>
      </c>
      <c r="C312" s="21" t="s">
        <v>633</v>
      </c>
      <c r="D312" s="162" t="s">
        <v>112</v>
      </c>
      <c r="E312" s="21" t="s">
        <v>634</v>
      </c>
      <c r="F312" s="162" t="str">
        <f>IF(wskakunin_sekkei2_JIMU_NAME="", "", wskakunin_sekkei2_JIMU_NAME)</f>
        <v/>
      </c>
      <c r="G312" s="22"/>
      <c r="H312" s="22"/>
    </row>
    <row r="313" spans="1:8" ht="12">
      <c r="A313" s="47"/>
      <c r="B313" s="80" t="s">
        <v>601</v>
      </c>
      <c r="D313" s="37"/>
      <c r="E313" s="21" t="s">
        <v>635</v>
      </c>
      <c r="F313" s="162" t="str">
        <f>wskakunin_sekkei2_JIMU_NAME&amp;" "&amp;wskakunin_sekkei2_NAME</f>
        <v xml:space="preserve"> </v>
      </c>
      <c r="G313" s="22"/>
      <c r="H313" s="22"/>
    </row>
    <row r="314" spans="1:8" ht="12">
      <c r="A314" s="63"/>
      <c r="B314" s="80" t="s">
        <v>205</v>
      </c>
      <c r="C314" s="21" t="s">
        <v>636</v>
      </c>
      <c r="D314" s="255" t="s">
        <v>112</v>
      </c>
      <c r="E314" s="21" t="s">
        <v>637</v>
      </c>
      <c r="F314" s="162" t="str">
        <f>IF(wskakunin_sekkei2_ZIP="", "", wskakunin_sekkei2_ZIP)</f>
        <v/>
      </c>
      <c r="G314" s="22"/>
      <c r="H314" s="22" t="s">
        <v>605</v>
      </c>
    </row>
    <row r="315" spans="1:8" ht="12">
      <c r="A315" s="63"/>
      <c r="B315" s="80" t="s">
        <v>438</v>
      </c>
      <c r="C315" s="21" t="s">
        <v>638</v>
      </c>
      <c r="D315" s="162" t="s">
        <v>112</v>
      </c>
      <c r="E315" s="21" t="s">
        <v>639</v>
      </c>
      <c r="F315" s="162" t="str">
        <f>IF(wskakunin_sekkei2__address="", "", wskakunin_sekkei2__address)</f>
        <v/>
      </c>
      <c r="G315" s="22"/>
      <c r="H315" s="22"/>
    </row>
    <row r="316" spans="1:8" ht="12">
      <c r="A316" s="63"/>
      <c r="B316" s="80" t="s">
        <v>214</v>
      </c>
      <c r="C316" s="21" t="s">
        <v>640</v>
      </c>
      <c r="D316" s="255" t="s">
        <v>112</v>
      </c>
      <c r="E316" s="21" t="s">
        <v>641</v>
      </c>
      <c r="F316" s="162" t="str">
        <f>IF(wskakunin_sekkei2_TEL="", "", wskakunin_sekkei2_TEL)</f>
        <v/>
      </c>
      <c r="G316" s="22"/>
      <c r="H316" s="22"/>
    </row>
    <row r="317" spans="1:8" ht="12">
      <c r="A317" s="63"/>
      <c r="B317" s="80" t="s">
        <v>610</v>
      </c>
      <c r="C317" s="21" t="s">
        <v>642</v>
      </c>
      <c r="D317" s="255" t="s">
        <v>112</v>
      </c>
      <c r="E317" s="21" t="s">
        <v>643</v>
      </c>
      <c r="F317" s="162" t="str">
        <f>IF(wskakunin_sekkei2_DOC="","",wskakunin_sekkei2_DOC)</f>
        <v/>
      </c>
      <c r="G317" s="22"/>
      <c r="H317" s="22"/>
    </row>
    <row r="318" spans="1:8" ht="12">
      <c r="A318" s="63"/>
      <c r="B318" s="88"/>
      <c r="G318" s="22"/>
      <c r="H318" s="22"/>
    </row>
    <row r="319" spans="1:8" ht="12">
      <c r="A319" s="8" t="s">
        <v>644</v>
      </c>
      <c r="B319" s="52"/>
      <c r="G319" s="22"/>
      <c r="H319" s="22"/>
    </row>
    <row r="320" spans="1:8" ht="12">
      <c r="A320" s="30"/>
      <c r="B320" s="80" t="s">
        <v>392</v>
      </c>
      <c r="C320" s="21" t="s">
        <v>645</v>
      </c>
      <c r="D320" s="162" t="s">
        <v>112</v>
      </c>
      <c r="E320" s="21" t="s">
        <v>646</v>
      </c>
      <c r="F320" s="162" t="str">
        <f>IF(wskakunin_sekkei3__sikaku="", "", wskakunin_sekkei3__sikaku)</f>
        <v/>
      </c>
      <c r="G320" s="22"/>
      <c r="H320" s="22"/>
    </row>
    <row r="321" spans="1:8" ht="12">
      <c r="A321" s="35"/>
      <c r="B321" s="80" t="s">
        <v>396</v>
      </c>
      <c r="C321" s="21" t="s">
        <v>647</v>
      </c>
      <c r="D321" s="162" t="s">
        <v>112</v>
      </c>
      <c r="E321" s="21" t="s">
        <v>648</v>
      </c>
      <c r="F321" s="162" t="str">
        <f>IF(wskakunin_sekkei3_SIKAKU__label="","",wskakunin_sekkei3_SIKAKU__label)</f>
        <v/>
      </c>
      <c r="G321" s="22"/>
      <c r="H321" s="22"/>
    </row>
    <row r="322" spans="1:8" ht="12">
      <c r="A322" s="35"/>
      <c r="B322" s="80" t="s">
        <v>400</v>
      </c>
      <c r="C322" s="21" t="s">
        <v>649</v>
      </c>
      <c r="D322" s="162" t="s">
        <v>112</v>
      </c>
      <c r="E322" s="21" t="s">
        <v>650</v>
      </c>
      <c r="F322" s="162" t="str">
        <f>IF(wskakunin_sekkei3_TOUROKU_KIKAN__label="","",wskakunin_sekkei3_TOUROKU_KIKAN__label)</f>
        <v/>
      </c>
      <c r="G322" s="22"/>
      <c r="H322" s="22"/>
    </row>
    <row r="323" spans="1:8" ht="12">
      <c r="A323" s="35"/>
      <c r="B323" s="80" t="s">
        <v>404</v>
      </c>
      <c r="C323" s="21" t="s">
        <v>651</v>
      </c>
      <c r="D323" s="255" t="s">
        <v>112</v>
      </c>
      <c r="E323" s="21" t="s">
        <v>652</v>
      </c>
      <c r="F323" s="162" t="str">
        <f>IF(wskakunin_sekkei3_KENTIKUSI_NO="","",wskakunin_sekkei3_KENTIKUSI_NO)</f>
        <v/>
      </c>
      <c r="G323" s="22"/>
      <c r="H323" s="22"/>
    </row>
    <row r="324" spans="1:8" ht="12">
      <c r="A324" s="47"/>
      <c r="B324" s="80" t="s">
        <v>194</v>
      </c>
      <c r="C324" s="21" t="s">
        <v>653</v>
      </c>
      <c r="D324" s="162" t="s">
        <v>112</v>
      </c>
      <c r="E324" s="21" t="s">
        <v>654</v>
      </c>
      <c r="F324" s="162" t="str">
        <f>IF(wskakunin_sekkei3_NAME="", "", wskakunin_sekkei3_NAME)</f>
        <v/>
      </c>
      <c r="G324" s="22"/>
      <c r="H324" s="22"/>
    </row>
    <row r="325" spans="1:8" ht="12">
      <c r="A325" s="47"/>
      <c r="B325" s="80" t="s">
        <v>416</v>
      </c>
      <c r="C325" s="21" t="s">
        <v>655</v>
      </c>
      <c r="D325" s="162" t="s">
        <v>112</v>
      </c>
      <c r="E325" s="21" t="s">
        <v>656</v>
      </c>
      <c r="F325" s="162" t="str">
        <f>IF(wskakunin_sekkei3_JIMU__sikaku="", "", wskakunin_sekkei3_JIMU__sikaku)</f>
        <v/>
      </c>
      <c r="G325" s="22"/>
      <c r="H325" s="22"/>
    </row>
    <row r="326" spans="1:8" ht="12">
      <c r="A326" s="47"/>
      <c r="B326" s="80" t="s">
        <v>420</v>
      </c>
      <c r="C326" s="21" t="s">
        <v>657</v>
      </c>
      <c r="D326" s="162" t="s">
        <v>112</v>
      </c>
      <c r="E326" s="21" t="s">
        <v>658</v>
      </c>
      <c r="F326" s="162" t="str">
        <f>IF(wskakunin_sekkei3_JIMU_SIKAKU__label="","",wskakunin_sekkei3_JIMU_SIKAKU__label)</f>
        <v/>
      </c>
      <c r="G326" s="22"/>
      <c r="H326" s="22"/>
    </row>
    <row r="327" spans="1:8" ht="12">
      <c r="A327" s="47"/>
      <c r="B327" s="80" t="s">
        <v>423</v>
      </c>
      <c r="C327" s="21" t="s">
        <v>659</v>
      </c>
      <c r="D327" s="162" t="s">
        <v>112</v>
      </c>
      <c r="E327" s="21" t="s">
        <v>660</v>
      </c>
      <c r="F327" s="162" t="str">
        <f>IF(wskakunin_sekkei3_JIMU_TOUROKU_KIKAN__label="","",wskakunin_sekkei3_JIMU_TOUROKU_KIKAN__label)</f>
        <v/>
      </c>
      <c r="G327" s="22"/>
      <c r="H327" s="22"/>
    </row>
    <row r="328" spans="1:8" ht="12">
      <c r="A328" s="47"/>
      <c r="B328" s="80" t="s">
        <v>427</v>
      </c>
      <c r="C328" s="21" t="s">
        <v>661</v>
      </c>
      <c r="D328" s="255" t="s">
        <v>112</v>
      </c>
      <c r="E328" s="21" t="s">
        <v>662</v>
      </c>
      <c r="F328" s="162" t="str">
        <f>IF(wskakunin_sekkei3_JIMU_NO="","",wskakunin_sekkei3_JIMU_NO)</f>
        <v/>
      </c>
      <c r="G328" s="22"/>
      <c r="H328" s="22"/>
    </row>
    <row r="329" spans="1:8" ht="12">
      <c r="A329" s="63"/>
      <c r="B329" s="80" t="s">
        <v>431</v>
      </c>
      <c r="C329" s="21" t="s">
        <v>663</v>
      </c>
      <c r="D329" s="162" t="s">
        <v>112</v>
      </c>
      <c r="E329" s="21" t="s">
        <v>664</v>
      </c>
      <c r="F329" s="162" t="str">
        <f>IF(wskakunin_sekkei3_JIMU_NAME="", "", wskakunin_sekkei3_JIMU_NAME)</f>
        <v/>
      </c>
      <c r="G329" s="22"/>
      <c r="H329" s="22"/>
    </row>
    <row r="330" spans="1:8" ht="12">
      <c r="A330" s="47"/>
      <c r="B330" s="80" t="s">
        <v>601</v>
      </c>
      <c r="D330" s="37"/>
      <c r="E330" s="21" t="s">
        <v>665</v>
      </c>
      <c r="F330" s="162" t="str">
        <f>wskakunin_sekkei3_JIMU_NAME&amp;" "&amp;wskakunin_sekkei3_NAME</f>
        <v xml:space="preserve"> </v>
      </c>
      <c r="G330" s="22"/>
      <c r="H330" s="22"/>
    </row>
    <row r="331" spans="1:8" ht="12">
      <c r="A331" s="63"/>
      <c r="B331" s="80" t="s">
        <v>205</v>
      </c>
      <c r="C331" s="21" t="s">
        <v>666</v>
      </c>
      <c r="D331" s="255" t="s">
        <v>112</v>
      </c>
      <c r="E331" s="21" t="s">
        <v>667</v>
      </c>
      <c r="F331" s="162" t="str">
        <f>IF(wskakunin_sekkei3_ZIP="", "", wskakunin_sekkei3_ZIP)</f>
        <v/>
      </c>
      <c r="G331" s="22"/>
      <c r="H331" s="22" t="s">
        <v>605</v>
      </c>
    </row>
    <row r="332" spans="1:8" ht="12">
      <c r="A332" s="63"/>
      <c r="B332" s="80" t="s">
        <v>438</v>
      </c>
      <c r="C332" s="21" t="s">
        <v>668</v>
      </c>
      <c r="D332" s="162" t="s">
        <v>112</v>
      </c>
      <c r="E332" s="21" t="s">
        <v>669</v>
      </c>
      <c r="F332" s="162" t="str">
        <f>IF(wskakunin_sekkei3__address="", "", wskakunin_sekkei3__address)</f>
        <v/>
      </c>
      <c r="G332" s="22"/>
      <c r="H332" s="22"/>
    </row>
    <row r="333" spans="1:8" ht="12">
      <c r="A333" s="63"/>
      <c r="B333" s="80" t="s">
        <v>214</v>
      </c>
      <c r="C333" s="21" t="s">
        <v>670</v>
      </c>
      <c r="D333" s="255" t="s">
        <v>112</v>
      </c>
      <c r="E333" s="21" t="s">
        <v>671</v>
      </c>
      <c r="F333" s="162" t="str">
        <f>IF(wskakunin_sekkei3_TEL="", "", wskakunin_sekkei3_TEL)</f>
        <v/>
      </c>
      <c r="G333" s="22"/>
      <c r="H333" s="22"/>
    </row>
    <row r="334" spans="1:8" ht="12">
      <c r="A334" s="63"/>
      <c r="B334" s="80" t="s">
        <v>610</v>
      </c>
      <c r="C334" s="21" t="s">
        <v>672</v>
      </c>
      <c r="D334" s="255" t="s">
        <v>112</v>
      </c>
      <c r="E334" s="21" t="s">
        <v>673</v>
      </c>
      <c r="F334" s="162" t="str">
        <f>IF(wskakunin_sekkei3_DOC="","",wskakunin_sekkei3_DOC)</f>
        <v/>
      </c>
      <c r="G334" s="22"/>
      <c r="H334" s="22"/>
    </row>
    <row r="335" spans="1:8" ht="12">
      <c r="A335" s="63"/>
      <c r="B335" s="88"/>
      <c r="G335" s="22"/>
      <c r="H335" s="22"/>
    </row>
    <row r="336" spans="1:8" ht="12">
      <c r="A336" s="49" t="s">
        <v>674</v>
      </c>
      <c r="B336" s="52"/>
      <c r="G336" s="22"/>
      <c r="H336" s="22"/>
    </row>
    <row r="337" spans="1:8" ht="12">
      <c r="A337" s="86"/>
      <c r="B337" s="80" t="s">
        <v>392</v>
      </c>
      <c r="C337" s="21" t="s">
        <v>675</v>
      </c>
      <c r="D337" s="162" t="s">
        <v>112</v>
      </c>
      <c r="E337" s="21" t="s">
        <v>676</v>
      </c>
      <c r="F337" s="162" t="str">
        <f>IF(wskakunin_sekkei4__sikaku="", "", wskakunin_sekkei4__sikaku)</f>
        <v/>
      </c>
      <c r="G337" s="22"/>
      <c r="H337" s="22"/>
    </row>
    <row r="338" spans="1:8" ht="12">
      <c r="A338" s="86"/>
      <c r="B338" s="80" t="s">
        <v>396</v>
      </c>
      <c r="C338" s="21" t="s">
        <v>677</v>
      </c>
      <c r="D338" s="162" t="s">
        <v>112</v>
      </c>
      <c r="E338" s="21" t="s">
        <v>678</v>
      </c>
      <c r="F338" s="162" t="str">
        <f>IF(wskakunin_sekkei4_SIKAKU__label="","",wskakunin_sekkei4_SIKAKU__label)</f>
        <v/>
      </c>
      <c r="G338" s="22"/>
      <c r="H338" s="22"/>
    </row>
    <row r="339" spans="1:8" ht="12">
      <c r="A339" s="86"/>
      <c r="B339" s="80" t="s">
        <v>400</v>
      </c>
      <c r="C339" s="21" t="s">
        <v>679</v>
      </c>
      <c r="D339" s="162" t="s">
        <v>112</v>
      </c>
      <c r="E339" s="21" t="s">
        <v>680</v>
      </c>
      <c r="F339" s="162" t="str">
        <f>IF(wskakunin_sekkei4_TOUROKU_KIKAN__label="","",wskakunin_sekkei4_TOUROKU_KIKAN__label)</f>
        <v/>
      </c>
      <c r="G339" s="22"/>
      <c r="H339" s="22"/>
    </row>
    <row r="340" spans="1:8" ht="12">
      <c r="A340" s="86"/>
      <c r="B340" s="80" t="s">
        <v>404</v>
      </c>
      <c r="C340" s="21" t="s">
        <v>681</v>
      </c>
      <c r="D340" s="255" t="s">
        <v>112</v>
      </c>
      <c r="E340" s="21" t="s">
        <v>682</v>
      </c>
      <c r="F340" s="162" t="str">
        <f>IF(wskakunin_sekkei4_KENTIKUSI_NO="","",wskakunin_sekkei4_KENTIKUSI_NO)</f>
        <v/>
      </c>
      <c r="G340" s="22"/>
      <c r="H340" s="22"/>
    </row>
    <row r="341" spans="1:8" ht="12">
      <c r="A341" s="53"/>
      <c r="B341" s="80" t="s">
        <v>194</v>
      </c>
      <c r="C341" s="21" t="s">
        <v>683</v>
      </c>
      <c r="D341" s="162" t="s">
        <v>112</v>
      </c>
      <c r="E341" s="21" t="s">
        <v>684</v>
      </c>
      <c r="F341" s="162" t="str">
        <f>IF(wskakunin_sekkei4_NAME="", "", wskakunin_sekkei4_NAME)</f>
        <v/>
      </c>
      <c r="G341" s="22"/>
      <c r="H341" s="22"/>
    </row>
    <row r="342" spans="1:8" ht="12">
      <c r="A342" s="53"/>
      <c r="B342" s="80" t="s">
        <v>416</v>
      </c>
      <c r="C342" s="21" t="s">
        <v>685</v>
      </c>
      <c r="D342" s="162" t="s">
        <v>112</v>
      </c>
      <c r="E342" s="21" t="s">
        <v>686</v>
      </c>
      <c r="F342" s="162" t="str">
        <f>IF(wskakunin_sekkei4_JIMU__sikaku="", "", wskakunin_sekkei4_JIMU__sikaku)</f>
        <v/>
      </c>
      <c r="G342" s="22"/>
      <c r="H342" s="22"/>
    </row>
    <row r="343" spans="1:8" ht="12">
      <c r="A343" s="53"/>
      <c r="B343" s="80" t="s">
        <v>420</v>
      </c>
      <c r="C343" s="21" t="s">
        <v>687</v>
      </c>
      <c r="D343" s="162" t="s">
        <v>112</v>
      </c>
      <c r="E343" s="21" t="s">
        <v>688</v>
      </c>
      <c r="F343" s="162" t="str">
        <f>IF(wskakunin_sekkei4_JIMU_SIKAKU__label="","",wskakunin_sekkei4_JIMU_SIKAKU__label)</f>
        <v/>
      </c>
      <c r="G343" s="22"/>
      <c r="H343" s="22"/>
    </row>
    <row r="344" spans="1:8" ht="12">
      <c r="A344" s="53"/>
      <c r="B344" s="80" t="s">
        <v>423</v>
      </c>
      <c r="C344" s="21" t="s">
        <v>689</v>
      </c>
      <c r="D344" s="162" t="s">
        <v>112</v>
      </c>
      <c r="E344" s="21" t="s">
        <v>690</v>
      </c>
      <c r="F344" s="162" t="str">
        <f>IF(wskakunin_sekkei4_JIMU_TOUROKU_KIKAN__label="","",wskakunin_sekkei4_JIMU_TOUROKU_KIKAN__label)</f>
        <v/>
      </c>
      <c r="G344" s="22"/>
      <c r="H344" s="22"/>
    </row>
    <row r="345" spans="1:8" ht="12">
      <c r="A345" s="53"/>
      <c r="B345" s="80" t="s">
        <v>427</v>
      </c>
      <c r="C345" s="21" t="s">
        <v>691</v>
      </c>
      <c r="D345" s="255" t="s">
        <v>112</v>
      </c>
      <c r="E345" s="21" t="s">
        <v>692</v>
      </c>
      <c r="F345" s="162" t="str">
        <f>IF(wskakunin_sekkei4_JIMU_NO="","",wskakunin_sekkei4_JIMU_NO)</f>
        <v/>
      </c>
      <c r="G345" s="22"/>
      <c r="H345" s="22"/>
    </row>
    <row r="346" spans="1:8" ht="12">
      <c r="A346" s="53"/>
      <c r="B346" s="80" t="s">
        <v>431</v>
      </c>
      <c r="C346" s="21" t="s">
        <v>693</v>
      </c>
      <c r="D346" s="162" t="s">
        <v>112</v>
      </c>
      <c r="E346" s="21" t="s">
        <v>694</v>
      </c>
      <c r="F346" s="162" t="str">
        <f>IF(wskakunin_sekkei4_JIMU_NAME="", "", wskakunin_sekkei4_JIMU_NAME)</f>
        <v/>
      </c>
      <c r="G346" s="22"/>
      <c r="H346" s="22"/>
    </row>
    <row r="347" spans="1:8" ht="12">
      <c r="A347" s="53"/>
      <c r="B347" s="80" t="s">
        <v>601</v>
      </c>
      <c r="D347" s="37"/>
      <c r="E347" s="21" t="s">
        <v>695</v>
      </c>
      <c r="F347" s="162" t="str">
        <f>wskakunin_sekkei4_JIMU_NAME&amp;" "&amp;wskakunin_sekkei4_NAME</f>
        <v xml:space="preserve"> </v>
      </c>
      <c r="G347" s="22"/>
      <c r="H347" s="22"/>
    </row>
    <row r="348" spans="1:8" ht="12">
      <c r="A348" s="53"/>
      <c r="B348" s="80" t="s">
        <v>205</v>
      </c>
      <c r="C348" s="21" t="s">
        <v>696</v>
      </c>
      <c r="D348" s="255" t="s">
        <v>112</v>
      </c>
      <c r="E348" s="21" t="s">
        <v>697</v>
      </c>
      <c r="F348" s="162" t="str">
        <f>IF(wskakunin_sekkei4_ZIP="", "", wskakunin_sekkei4_ZIP)</f>
        <v/>
      </c>
      <c r="G348" s="22"/>
      <c r="H348" s="22" t="s">
        <v>605</v>
      </c>
    </row>
    <row r="349" spans="1:8" ht="12">
      <c r="A349" s="53"/>
      <c r="B349" s="80" t="s">
        <v>438</v>
      </c>
      <c r="C349" s="21" t="s">
        <v>698</v>
      </c>
      <c r="D349" s="162" t="s">
        <v>112</v>
      </c>
      <c r="E349" s="21" t="s">
        <v>699</v>
      </c>
      <c r="F349" s="162" t="str">
        <f>IF(wskakunin_sekkei4__address="", "", wskakunin_sekkei4__address)</f>
        <v/>
      </c>
      <c r="G349" s="22"/>
      <c r="H349" s="22"/>
    </row>
    <row r="350" spans="1:8" ht="12">
      <c r="A350" s="53"/>
      <c r="B350" s="80" t="s">
        <v>214</v>
      </c>
      <c r="C350" s="21" t="s">
        <v>700</v>
      </c>
      <c r="D350" s="255" t="s">
        <v>112</v>
      </c>
      <c r="E350" s="21" t="s">
        <v>701</v>
      </c>
      <c r="F350" s="162" t="str">
        <f>IF(wskakunin_sekkei4_TEL="", "", wskakunin_sekkei4_TEL)</f>
        <v/>
      </c>
      <c r="G350" s="22"/>
      <c r="H350" s="22"/>
    </row>
    <row r="351" spans="1:8" ht="12">
      <c r="A351" s="53"/>
      <c r="B351" s="80" t="s">
        <v>610</v>
      </c>
      <c r="C351" s="21" t="s">
        <v>702</v>
      </c>
      <c r="D351" s="255" t="s">
        <v>112</v>
      </c>
      <c r="E351" s="21" t="s">
        <v>703</v>
      </c>
      <c r="F351" s="162" t="str">
        <f>IF(wskakunin_sekkei4_DOC="","",wskakunin_sekkei4_DOC)</f>
        <v/>
      </c>
      <c r="G351" s="22"/>
      <c r="H351" s="22"/>
    </row>
    <row r="352" spans="1:8" ht="12">
      <c r="A352" s="54"/>
      <c r="B352" s="88"/>
      <c r="G352" s="22"/>
      <c r="H352" s="22"/>
    </row>
    <row r="353" spans="1:8" ht="12">
      <c r="A353" s="8" t="s">
        <v>704</v>
      </c>
      <c r="B353" s="52"/>
      <c r="G353" s="22"/>
      <c r="H353" s="22"/>
    </row>
    <row r="354" spans="1:8" ht="12">
      <c r="A354" s="30"/>
      <c r="B354" s="80" t="s">
        <v>392</v>
      </c>
      <c r="C354" s="21" t="s">
        <v>705</v>
      </c>
      <c r="D354" s="162" t="s">
        <v>112</v>
      </c>
      <c r="E354" s="21" t="s">
        <v>706</v>
      </c>
      <c r="F354" s="162" t="str">
        <f>IF(wskakunin_sekkei5__sikaku="", "", wskakunin_sekkei5__sikaku)</f>
        <v/>
      </c>
      <c r="H354" s="22"/>
    </row>
    <row r="355" spans="1:8" ht="12">
      <c r="A355" s="35"/>
      <c r="B355" s="80" t="s">
        <v>396</v>
      </c>
      <c r="C355" s="21" t="s">
        <v>707</v>
      </c>
      <c r="D355" s="162" t="s">
        <v>112</v>
      </c>
      <c r="E355" s="21" t="s">
        <v>708</v>
      </c>
      <c r="F355" s="162" t="str">
        <f>IF(wskakunin_sekkei5_SIKAKU__label="","",wskakunin_sekkei5_SIKAKU__label)</f>
        <v/>
      </c>
      <c r="H355" s="22"/>
    </row>
    <row r="356" spans="1:8" ht="12">
      <c r="A356" s="35"/>
      <c r="B356" s="80" t="s">
        <v>400</v>
      </c>
      <c r="C356" s="21" t="s">
        <v>709</v>
      </c>
      <c r="D356" s="162" t="s">
        <v>112</v>
      </c>
      <c r="E356" s="21" t="s">
        <v>710</v>
      </c>
      <c r="F356" s="162" t="str">
        <f>IF(wskakunin_sekkei5_TOUROKU_KIKAN__label="","",wskakunin_sekkei5_TOUROKU_KIKAN__label)</f>
        <v/>
      </c>
      <c r="H356" s="22"/>
    </row>
    <row r="357" spans="1:8" ht="12">
      <c r="A357" s="35"/>
      <c r="B357" s="80" t="s">
        <v>404</v>
      </c>
      <c r="C357" s="21" t="s">
        <v>711</v>
      </c>
      <c r="D357" s="255" t="s">
        <v>112</v>
      </c>
      <c r="E357" s="21" t="s">
        <v>712</v>
      </c>
      <c r="F357" s="162" t="str">
        <f>IF(wskakunin_sekkei5_KENTIKUSI_NO="","",wskakunin_sekkei5_KENTIKUSI_NO)</f>
        <v/>
      </c>
      <c r="H357" s="22"/>
    </row>
    <row r="358" spans="1:8" ht="12">
      <c r="A358" s="47"/>
      <c r="B358" s="80" t="s">
        <v>194</v>
      </c>
      <c r="C358" s="21" t="s">
        <v>713</v>
      </c>
      <c r="D358" s="162" t="s">
        <v>112</v>
      </c>
      <c r="E358" s="21" t="s">
        <v>714</v>
      </c>
      <c r="F358" s="162" t="str">
        <f>IF(wskakunin_sekkei5_NAME="", "", wskakunin_sekkei5_NAME)</f>
        <v/>
      </c>
      <c r="H358" s="22"/>
    </row>
    <row r="359" spans="1:8" ht="12">
      <c r="A359" s="47"/>
      <c r="B359" s="80" t="s">
        <v>416</v>
      </c>
      <c r="C359" s="21" t="s">
        <v>715</v>
      </c>
      <c r="D359" s="162" t="s">
        <v>112</v>
      </c>
      <c r="E359" s="21" t="s">
        <v>716</v>
      </c>
      <c r="F359" s="162" t="str">
        <f>IF(wskakunin_sekkei5_JIMU__sikaku="", "", wskakunin_sekkei5_JIMU__sikaku)</f>
        <v/>
      </c>
      <c r="H359" s="22"/>
    </row>
    <row r="360" spans="1:8" ht="12">
      <c r="A360" s="47"/>
      <c r="B360" s="80" t="s">
        <v>420</v>
      </c>
      <c r="C360" s="21" t="s">
        <v>717</v>
      </c>
      <c r="D360" s="162" t="s">
        <v>112</v>
      </c>
      <c r="E360" s="21" t="s">
        <v>718</v>
      </c>
      <c r="F360" s="162" t="str">
        <f>IF(wskakunin_sekkei5_JIMU_SIKAKU__label="","",wskakunin_sekkei5_JIMU_SIKAKU__label)</f>
        <v/>
      </c>
      <c r="H360" s="22"/>
    </row>
    <row r="361" spans="1:8" ht="12">
      <c r="A361" s="47"/>
      <c r="B361" s="80" t="s">
        <v>423</v>
      </c>
      <c r="C361" s="21" t="s">
        <v>719</v>
      </c>
      <c r="D361" s="162" t="s">
        <v>112</v>
      </c>
      <c r="E361" s="21" t="s">
        <v>720</v>
      </c>
      <c r="F361" s="162" t="str">
        <f>IF(wskakunin_sekkei5_JIMU_TOUROKU_KIKAN__label="","",wskakunin_sekkei5_JIMU_TOUROKU_KIKAN__label)</f>
        <v/>
      </c>
      <c r="H361" s="22"/>
    </row>
    <row r="362" spans="1:8" ht="12">
      <c r="A362" s="47"/>
      <c r="B362" s="80" t="s">
        <v>427</v>
      </c>
      <c r="C362" s="21" t="s">
        <v>721</v>
      </c>
      <c r="D362" s="255" t="s">
        <v>112</v>
      </c>
      <c r="E362" s="21" t="s">
        <v>722</v>
      </c>
      <c r="F362" s="162" t="str">
        <f>IF(wskakunin_sekkei5_JIMU_NO="","",wskakunin_sekkei5_JIMU_NO)</f>
        <v/>
      </c>
      <c r="H362" s="22"/>
    </row>
    <row r="363" spans="1:8" ht="12">
      <c r="A363" s="63"/>
      <c r="B363" s="80" t="s">
        <v>431</v>
      </c>
      <c r="C363" s="21" t="s">
        <v>723</v>
      </c>
      <c r="D363" s="162" t="s">
        <v>112</v>
      </c>
      <c r="E363" s="21" t="s">
        <v>724</v>
      </c>
      <c r="F363" s="162" t="str">
        <f>IF(wskakunin_sekkei5_JIMU_NAME="", "", wskakunin_sekkei5_JIMU_NAME)</f>
        <v/>
      </c>
      <c r="H363" s="22"/>
    </row>
    <row r="364" spans="1:8" ht="12">
      <c r="A364" s="47"/>
      <c r="B364" s="80" t="s">
        <v>601</v>
      </c>
      <c r="D364" s="37"/>
      <c r="E364" s="21" t="s">
        <v>725</v>
      </c>
      <c r="F364" s="162" t="str">
        <f>wskakunin_sekkei5_JIMU_NAME&amp;" "&amp;wskakunin_sekkei5_NAME</f>
        <v xml:space="preserve"> </v>
      </c>
      <c r="H364" s="22"/>
    </row>
    <row r="365" spans="1:8" ht="12">
      <c r="A365" s="63"/>
      <c r="B365" s="80" t="s">
        <v>205</v>
      </c>
      <c r="C365" s="21" t="s">
        <v>726</v>
      </c>
      <c r="D365" s="255" t="s">
        <v>112</v>
      </c>
      <c r="E365" s="21" t="s">
        <v>727</v>
      </c>
      <c r="F365" s="162" t="str">
        <f>IF(wskakunin_sekkei5_ZIP="", "", wskakunin_sekkei5_ZIP)</f>
        <v/>
      </c>
      <c r="H365" s="22" t="s">
        <v>605</v>
      </c>
    </row>
    <row r="366" spans="1:8" ht="12">
      <c r="A366" s="63"/>
      <c r="B366" s="80" t="s">
        <v>438</v>
      </c>
      <c r="C366" s="21" t="s">
        <v>728</v>
      </c>
      <c r="D366" s="162" t="s">
        <v>112</v>
      </c>
      <c r="E366" s="21" t="s">
        <v>729</v>
      </c>
      <c r="F366" s="162" t="str">
        <f>IF(wskakunin_sekkei5__address="", "", wskakunin_sekkei5__address)</f>
        <v/>
      </c>
      <c r="H366" s="22"/>
    </row>
    <row r="367" spans="1:8" ht="12">
      <c r="A367" s="63"/>
      <c r="B367" s="80" t="s">
        <v>214</v>
      </c>
      <c r="C367" s="21" t="s">
        <v>730</v>
      </c>
      <c r="D367" s="255" t="s">
        <v>112</v>
      </c>
      <c r="E367" s="21" t="s">
        <v>731</v>
      </c>
      <c r="F367" s="162" t="str">
        <f>IF(wskakunin_sekkei5_TEL="", "", wskakunin_sekkei5_TEL)</f>
        <v/>
      </c>
      <c r="H367" s="22"/>
    </row>
    <row r="368" spans="1:8" ht="12">
      <c r="A368" s="63"/>
      <c r="B368" s="80" t="s">
        <v>610</v>
      </c>
      <c r="C368" s="21" t="s">
        <v>732</v>
      </c>
      <c r="D368" s="255" t="s">
        <v>112</v>
      </c>
      <c r="E368" s="21" t="s">
        <v>733</v>
      </c>
      <c r="F368" s="162" t="str">
        <f>IF(wskakunin_sekkei5_DOC="","",wskakunin_sekkei5_DOC)</f>
        <v/>
      </c>
      <c r="H368" s="22"/>
    </row>
    <row r="369" spans="1:8" ht="12">
      <c r="A369" s="63"/>
      <c r="B369" s="88"/>
      <c r="H369" s="22"/>
    </row>
    <row r="370" spans="1:8" ht="12">
      <c r="A370" s="8" t="s">
        <v>734</v>
      </c>
      <c r="B370" s="52"/>
      <c r="H370" s="22"/>
    </row>
    <row r="371" spans="1:8" ht="12">
      <c r="A371" s="30"/>
      <c r="B371" s="80" t="s">
        <v>392</v>
      </c>
      <c r="C371" s="21" t="s">
        <v>735</v>
      </c>
      <c r="D371" s="162" t="s">
        <v>112</v>
      </c>
      <c r="E371" s="21" t="s">
        <v>736</v>
      </c>
      <c r="F371" s="162" t="str">
        <f>IF(wskakunin_sekkei6__sikaku="", "", wskakunin_sekkei6__sikaku)</f>
        <v/>
      </c>
      <c r="H371" s="22"/>
    </row>
    <row r="372" spans="1:8" ht="12">
      <c r="A372" s="35"/>
      <c r="B372" s="80" t="s">
        <v>396</v>
      </c>
      <c r="C372" s="21" t="s">
        <v>737</v>
      </c>
      <c r="D372" s="162" t="s">
        <v>112</v>
      </c>
      <c r="E372" s="21" t="s">
        <v>738</v>
      </c>
      <c r="F372" s="162" t="str">
        <f>IF(wskakunin_sekkei6_SIKAKU__label="","",wskakunin_sekkei6_SIKAKU__label)</f>
        <v/>
      </c>
      <c r="H372" s="22"/>
    </row>
    <row r="373" spans="1:8" ht="12">
      <c r="A373" s="35"/>
      <c r="B373" s="80" t="s">
        <v>400</v>
      </c>
      <c r="C373" s="21" t="s">
        <v>739</v>
      </c>
      <c r="D373" s="162" t="s">
        <v>112</v>
      </c>
      <c r="E373" s="21" t="s">
        <v>740</v>
      </c>
      <c r="F373" s="162" t="str">
        <f>IF(wskakunin_sekkei6_TOUROKU_KIKAN__label="","",wskakunin_sekkei6_TOUROKU_KIKAN__label)</f>
        <v/>
      </c>
      <c r="H373" s="22"/>
    </row>
    <row r="374" spans="1:8" ht="12">
      <c r="A374" s="35"/>
      <c r="B374" s="80" t="s">
        <v>404</v>
      </c>
      <c r="C374" s="21" t="s">
        <v>741</v>
      </c>
      <c r="D374" s="255" t="s">
        <v>112</v>
      </c>
      <c r="E374" s="21" t="s">
        <v>742</v>
      </c>
      <c r="F374" s="162" t="str">
        <f>IF(wskakunin_sekkei6_KENTIKUSI_NO="","",wskakunin_sekkei6_KENTIKUSI_NO)</f>
        <v/>
      </c>
      <c r="H374" s="22"/>
    </row>
    <row r="375" spans="1:8" ht="12">
      <c r="A375" s="47"/>
      <c r="B375" s="80" t="s">
        <v>194</v>
      </c>
      <c r="C375" s="21" t="s">
        <v>743</v>
      </c>
      <c r="D375" s="162" t="s">
        <v>112</v>
      </c>
      <c r="E375" s="21" t="s">
        <v>744</v>
      </c>
      <c r="F375" s="162" t="str">
        <f>IF(wskakunin_sekkei6_NAME="", "", wskakunin_sekkei6_NAME)</f>
        <v/>
      </c>
      <c r="H375" s="22"/>
    </row>
    <row r="376" spans="1:8" ht="12">
      <c r="A376" s="47"/>
      <c r="B376" s="80" t="s">
        <v>416</v>
      </c>
      <c r="C376" s="21" t="s">
        <v>745</v>
      </c>
      <c r="D376" s="162" t="s">
        <v>112</v>
      </c>
      <c r="E376" s="21" t="s">
        <v>746</v>
      </c>
      <c r="F376" s="162" t="str">
        <f>IF(wskakunin_sekkei6_JIMU__sikaku="", "", wskakunin_sekkei6_JIMU__sikaku)</f>
        <v/>
      </c>
      <c r="H376" s="22"/>
    </row>
    <row r="377" spans="1:8" ht="12">
      <c r="A377" s="47"/>
      <c r="B377" s="80" t="s">
        <v>420</v>
      </c>
      <c r="C377" s="21" t="s">
        <v>747</v>
      </c>
      <c r="D377" s="162" t="s">
        <v>112</v>
      </c>
      <c r="E377" s="21" t="s">
        <v>748</v>
      </c>
      <c r="F377" s="162" t="str">
        <f>IF(wskakunin_sekkei6_JIMU_SIKAKU__label="","",wskakunin_sekkei6_JIMU_SIKAKU__label)</f>
        <v/>
      </c>
      <c r="H377" s="22"/>
    </row>
    <row r="378" spans="1:8" ht="12">
      <c r="A378" s="47"/>
      <c r="B378" s="80" t="s">
        <v>423</v>
      </c>
      <c r="C378" s="21" t="s">
        <v>749</v>
      </c>
      <c r="D378" s="162" t="s">
        <v>112</v>
      </c>
      <c r="E378" s="21" t="s">
        <v>750</v>
      </c>
      <c r="F378" s="162" t="str">
        <f>IF(wskakunin_sekkei6_JIMU_TOUROKU_KIKAN__label="","",wskakunin_sekkei6_JIMU_TOUROKU_KIKAN__label)</f>
        <v/>
      </c>
      <c r="H378" s="22"/>
    </row>
    <row r="379" spans="1:8" ht="12">
      <c r="A379" s="47"/>
      <c r="B379" s="80" t="s">
        <v>427</v>
      </c>
      <c r="C379" s="21" t="s">
        <v>751</v>
      </c>
      <c r="D379" s="255" t="s">
        <v>112</v>
      </c>
      <c r="E379" s="21" t="s">
        <v>752</v>
      </c>
      <c r="F379" s="162" t="str">
        <f>IF(wskakunin_sekkei6_JIMU_NO="","",wskakunin_sekkei6_JIMU_NO)</f>
        <v/>
      </c>
      <c r="H379" s="22"/>
    </row>
    <row r="380" spans="1:8" ht="12">
      <c r="A380" s="63"/>
      <c r="B380" s="80" t="s">
        <v>431</v>
      </c>
      <c r="C380" s="21" t="s">
        <v>753</v>
      </c>
      <c r="D380" s="162" t="s">
        <v>112</v>
      </c>
      <c r="E380" s="21" t="s">
        <v>754</v>
      </c>
      <c r="F380" s="162" t="str">
        <f>IF(wskakunin_sekkei6_JIMU_NAME="", "", wskakunin_sekkei6_JIMU_NAME)</f>
        <v/>
      </c>
      <c r="H380" s="22"/>
    </row>
    <row r="381" spans="1:8" ht="12">
      <c r="A381" s="47"/>
      <c r="B381" s="80" t="s">
        <v>601</v>
      </c>
      <c r="D381" s="37"/>
      <c r="E381" s="21" t="s">
        <v>755</v>
      </c>
      <c r="F381" s="162" t="str">
        <f>wskakunin_sekkei6_JIMU_NAME&amp;" "&amp;wskakunin_sekkei6_NAME</f>
        <v xml:space="preserve"> </v>
      </c>
      <c r="H381" s="22"/>
    </row>
    <row r="382" spans="1:8" ht="12">
      <c r="A382" s="63"/>
      <c r="B382" s="80" t="s">
        <v>205</v>
      </c>
      <c r="C382" s="21" t="s">
        <v>756</v>
      </c>
      <c r="D382" s="255" t="s">
        <v>112</v>
      </c>
      <c r="E382" s="21" t="s">
        <v>757</v>
      </c>
      <c r="F382" s="162" t="str">
        <f>IF(wskakunin_sekkei6_ZIP="", "", wskakunin_sekkei6_ZIP)</f>
        <v/>
      </c>
      <c r="H382" s="22" t="s">
        <v>605</v>
      </c>
    </row>
    <row r="383" spans="1:8" ht="12">
      <c r="A383" s="63"/>
      <c r="B383" s="80" t="s">
        <v>438</v>
      </c>
      <c r="C383" s="21" t="s">
        <v>758</v>
      </c>
      <c r="D383" s="162" t="s">
        <v>112</v>
      </c>
      <c r="E383" s="21" t="s">
        <v>759</v>
      </c>
      <c r="F383" s="162" t="str">
        <f>IF(wskakunin_sekkei6__address="", "", wskakunin_sekkei6__address)</f>
        <v/>
      </c>
      <c r="H383" s="22"/>
    </row>
    <row r="384" spans="1:8" ht="12">
      <c r="A384" s="63"/>
      <c r="B384" s="80" t="s">
        <v>214</v>
      </c>
      <c r="C384" s="21" t="s">
        <v>760</v>
      </c>
      <c r="D384" s="255" t="s">
        <v>112</v>
      </c>
      <c r="E384" s="21" t="s">
        <v>761</v>
      </c>
      <c r="F384" s="162" t="str">
        <f>IF(wskakunin_sekkei6_TEL="", "", wskakunin_sekkei6_TEL)</f>
        <v/>
      </c>
      <c r="H384" s="22"/>
    </row>
    <row r="385" spans="1:8" ht="12">
      <c r="A385" s="63"/>
      <c r="B385" s="80" t="s">
        <v>610</v>
      </c>
      <c r="C385" s="21" t="s">
        <v>762</v>
      </c>
      <c r="D385" s="255" t="s">
        <v>112</v>
      </c>
      <c r="E385" s="21" t="s">
        <v>763</v>
      </c>
      <c r="F385" s="162" t="str">
        <f>IF(wskakunin_sekkei6_DOC="","",wskakunin_sekkei6_DOC)</f>
        <v/>
      </c>
      <c r="H385" s="22"/>
    </row>
    <row r="386" spans="1:8" ht="12">
      <c r="A386" s="63"/>
      <c r="B386" s="88"/>
      <c r="H386" s="22"/>
    </row>
    <row r="387" spans="1:8" ht="12">
      <c r="A387" s="8" t="s">
        <v>764</v>
      </c>
      <c r="B387" s="52"/>
      <c r="H387" s="22"/>
    </row>
    <row r="388" spans="1:8" ht="12">
      <c r="A388" s="30"/>
      <c r="B388" s="80" t="s">
        <v>392</v>
      </c>
      <c r="C388" s="21" t="s">
        <v>765</v>
      </c>
      <c r="D388" s="162" t="s">
        <v>112</v>
      </c>
      <c r="E388" s="21" t="s">
        <v>766</v>
      </c>
      <c r="F388" s="162" t="str">
        <f>IF(wskakunin_sekkei7__sikaku="", "", wskakunin_sekkei7__sikaku)</f>
        <v/>
      </c>
      <c r="H388" s="22"/>
    </row>
    <row r="389" spans="1:8" ht="12">
      <c r="A389" s="35"/>
      <c r="B389" s="80" t="s">
        <v>396</v>
      </c>
      <c r="C389" s="21" t="s">
        <v>767</v>
      </c>
      <c r="D389" s="162" t="s">
        <v>112</v>
      </c>
      <c r="E389" s="21" t="s">
        <v>768</v>
      </c>
      <c r="F389" s="162" t="str">
        <f>IF(wskakunin_sekkei7_SIKAKU__label="","",wskakunin_sekkei7_SIKAKU__label)</f>
        <v/>
      </c>
      <c r="H389" s="22"/>
    </row>
    <row r="390" spans="1:8" ht="12">
      <c r="A390" s="35"/>
      <c r="B390" s="80" t="s">
        <v>400</v>
      </c>
      <c r="C390" s="21" t="s">
        <v>769</v>
      </c>
      <c r="D390" s="162" t="s">
        <v>112</v>
      </c>
      <c r="E390" s="21" t="s">
        <v>770</v>
      </c>
      <c r="F390" s="162" t="str">
        <f>IF(wskakunin_sekkei7_TOUROKU_KIKAN__label="","",wskakunin_sekkei7_TOUROKU_KIKAN__label)</f>
        <v/>
      </c>
      <c r="H390" s="22"/>
    </row>
    <row r="391" spans="1:8" ht="12">
      <c r="A391" s="35"/>
      <c r="B391" s="80" t="s">
        <v>404</v>
      </c>
      <c r="C391" s="21" t="s">
        <v>771</v>
      </c>
      <c r="D391" s="255" t="s">
        <v>112</v>
      </c>
      <c r="E391" s="21" t="s">
        <v>772</v>
      </c>
      <c r="F391" s="162" t="str">
        <f>IF(wskakunin_sekkei7_KENTIKUSI_NO="","",wskakunin_sekkei7_KENTIKUSI_NO)</f>
        <v/>
      </c>
      <c r="H391" s="22"/>
    </row>
    <row r="392" spans="1:8" ht="12">
      <c r="A392" s="47"/>
      <c r="B392" s="80" t="s">
        <v>194</v>
      </c>
      <c r="C392" s="21" t="s">
        <v>773</v>
      </c>
      <c r="D392" s="162" t="s">
        <v>112</v>
      </c>
      <c r="E392" s="21" t="s">
        <v>774</v>
      </c>
      <c r="F392" s="162" t="str">
        <f>IF(wskakunin_sekkei7_NAME="", "", wskakunin_sekkei7_NAME)</f>
        <v/>
      </c>
      <c r="H392" s="22"/>
    </row>
    <row r="393" spans="1:8" ht="12">
      <c r="A393" s="47"/>
      <c r="B393" s="80" t="s">
        <v>416</v>
      </c>
      <c r="C393" s="21" t="s">
        <v>775</v>
      </c>
      <c r="D393" s="162" t="s">
        <v>112</v>
      </c>
      <c r="E393" s="21" t="s">
        <v>776</v>
      </c>
      <c r="F393" s="162" t="str">
        <f>IF(wskakunin_sekkei7_JIMU__sikaku="", "", wskakunin_sekkei7_JIMU__sikaku)</f>
        <v/>
      </c>
      <c r="H393" s="22"/>
    </row>
    <row r="394" spans="1:8" ht="12">
      <c r="A394" s="47"/>
      <c r="B394" s="80" t="s">
        <v>420</v>
      </c>
      <c r="C394" s="21" t="s">
        <v>777</v>
      </c>
      <c r="D394" s="162" t="s">
        <v>112</v>
      </c>
      <c r="E394" s="21" t="s">
        <v>778</v>
      </c>
      <c r="F394" s="162" t="str">
        <f>IF(wskakunin_sekkei7_JIMU_SIKAKU__label="","",wskakunin_sekkei7_JIMU_SIKAKU__label)</f>
        <v/>
      </c>
      <c r="H394" s="22"/>
    </row>
    <row r="395" spans="1:8" ht="12">
      <c r="A395" s="47"/>
      <c r="B395" s="80" t="s">
        <v>423</v>
      </c>
      <c r="C395" s="21" t="s">
        <v>779</v>
      </c>
      <c r="D395" s="162" t="s">
        <v>112</v>
      </c>
      <c r="E395" s="21" t="s">
        <v>780</v>
      </c>
      <c r="F395" s="162" t="str">
        <f>IF(wskakunin_sekkei7_JIMU_TOUROKU_KIKAN__label="","",wskakunin_sekkei7_JIMU_TOUROKU_KIKAN__label)</f>
        <v/>
      </c>
      <c r="H395" s="22"/>
    </row>
    <row r="396" spans="1:8" ht="12">
      <c r="A396" s="47"/>
      <c r="B396" s="80" t="s">
        <v>427</v>
      </c>
      <c r="C396" s="21" t="s">
        <v>781</v>
      </c>
      <c r="D396" s="255" t="s">
        <v>112</v>
      </c>
      <c r="E396" s="21" t="s">
        <v>782</v>
      </c>
      <c r="F396" s="162" t="str">
        <f>IF(wskakunin_sekkei7_JIMU_NO="","",wskakunin_sekkei7_JIMU_NO)</f>
        <v/>
      </c>
      <c r="H396" s="22"/>
    </row>
    <row r="397" spans="1:8" ht="12">
      <c r="A397" s="63"/>
      <c r="B397" s="80" t="s">
        <v>431</v>
      </c>
      <c r="C397" s="21" t="s">
        <v>783</v>
      </c>
      <c r="D397" s="162" t="s">
        <v>112</v>
      </c>
      <c r="E397" s="21" t="s">
        <v>784</v>
      </c>
      <c r="F397" s="162" t="str">
        <f>IF(wskakunin_sekkei7_JIMU_NAME="", "", wskakunin_sekkei7_JIMU_NAME)</f>
        <v/>
      </c>
      <c r="H397" s="22"/>
    </row>
    <row r="398" spans="1:8" ht="12">
      <c r="A398" s="47"/>
      <c r="B398" s="80" t="s">
        <v>601</v>
      </c>
      <c r="D398" s="37"/>
      <c r="E398" s="21" t="s">
        <v>785</v>
      </c>
      <c r="F398" s="162" t="str">
        <f>wskakunin_sekkei7_JIMU_NAME&amp;" "&amp;wskakunin_sekkei7_NAME</f>
        <v xml:space="preserve"> </v>
      </c>
      <c r="H398" s="22"/>
    </row>
    <row r="399" spans="1:8" ht="12">
      <c r="A399" s="63"/>
      <c r="B399" s="80" t="s">
        <v>205</v>
      </c>
      <c r="C399" s="21" t="s">
        <v>786</v>
      </c>
      <c r="D399" s="255" t="s">
        <v>112</v>
      </c>
      <c r="E399" s="21" t="s">
        <v>787</v>
      </c>
      <c r="F399" s="162" t="str">
        <f>IF(wskakunin_sekkei7_ZIP="", "", wskakunin_sekkei7_ZIP)</f>
        <v/>
      </c>
      <c r="H399" s="22" t="s">
        <v>605</v>
      </c>
    </row>
    <row r="400" spans="1:8" ht="12">
      <c r="A400" s="63"/>
      <c r="B400" s="80" t="s">
        <v>438</v>
      </c>
      <c r="C400" s="21" t="s">
        <v>788</v>
      </c>
      <c r="D400" s="162" t="s">
        <v>112</v>
      </c>
      <c r="E400" s="21" t="s">
        <v>789</v>
      </c>
      <c r="F400" s="162" t="str">
        <f>IF(wskakunin_sekkei7__address="", "", wskakunin_sekkei7__address)</f>
        <v/>
      </c>
      <c r="H400" s="22"/>
    </row>
    <row r="401" spans="1:8" ht="12">
      <c r="A401" s="63"/>
      <c r="B401" s="80" t="s">
        <v>214</v>
      </c>
      <c r="C401" s="21" t="s">
        <v>790</v>
      </c>
      <c r="D401" s="255" t="s">
        <v>112</v>
      </c>
      <c r="E401" s="21" t="s">
        <v>791</v>
      </c>
      <c r="F401" s="162" t="str">
        <f>IF(wskakunin_sekkei7_TEL="", "", wskakunin_sekkei7_TEL)</f>
        <v/>
      </c>
      <c r="H401" s="22"/>
    </row>
    <row r="402" spans="1:8" ht="12">
      <c r="A402" s="63"/>
      <c r="B402" s="80" t="s">
        <v>610</v>
      </c>
      <c r="C402" s="21" t="s">
        <v>792</v>
      </c>
      <c r="D402" s="255" t="s">
        <v>112</v>
      </c>
      <c r="E402" s="21" t="s">
        <v>793</v>
      </c>
      <c r="F402" s="162" t="str">
        <f>IF(wskakunin_sekkei7_DOC="","",wskakunin_sekkei7_DOC)</f>
        <v/>
      </c>
      <c r="H402" s="22"/>
    </row>
    <row r="403" spans="1:8" ht="12">
      <c r="A403" s="63"/>
      <c r="B403" s="88"/>
      <c r="H403" s="22"/>
    </row>
    <row r="404" spans="1:8" ht="12">
      <c r="A404" s="8" t="s">
        <v>794</v>
      </c>
      <c r="B404" s="52"/>
      <c r="H404" s="22"/>
    </row>
    <row r="405" spans="1:8" ht="12">
      <c r="A405" s="30"/>
      <c r="B405" s="80" t="s">
        <v>392</v>
      </c>
      <c r="C405" s="21" t="s">
        <v>795</v>
      </c>
      <c r="D405" s="162" t="s">
        <v>112</v>
      </c>
      <c r="E405" s="21" t="s">
        <v>796</v>
      </c>
      <c r="F405" s="162" t="str">
        <f>IF(wskakunin_sekkei8__sikaku="", "", wskakunin_sekkei8__sikaku)</f>
        <v/>
      </c>
      <c r="H405" s="22"/>
    </row>
    <row r="406" spans="1:8" ht="12">
      <c r="A406" s="35"/>
      <c r="B406" s="80" t="s">
        <v>396</v>
      </c>
      <c r="C406" s="21" t="s">
        <v>797</v>
      </c>
      <c r="D406" s="162" t="s">
        <v>112</v>
      </c>
      <c r="E406" s="21" t="s">
        <v>798</v>
      </c>
      <c r="F406" s="162" t="str">
        <f>IF(wskakunin_sekkei8_SIKAKU__label="","",wskakunin_sekkei8_SIKAKU__label)</f>
        <v/>
      </c>
      <c r="H406" s="22"/>
    </row>
    <row r="407" spans="1:8" ht="12">
      <c r="A407" s="35"/>
      <c r="B407" s="80" t="s">
        <v>400</v>
      </c>
      <c r="C407" s="21" t="s">
        <v>799</v>
      </c>
      <c r="D407" s="162" t="s">
        <v>112</v>
      </c>
      <c r="E407" s="21" t="s">
        <v>800</v>
      </c>
      <c r="F407" s="162" t="str">
        <f>IF(wskakunin_sekkei8_TOUROKU_KIKAN__label="","",wskakunin_sekkei8_TOUROKU_KIKAN__label)</f>
        <v/>
      </c>
      <c r="H407" s="22"/>
    </row>
    <row r="408" spans="1:8" ht="12">
      <c r="A408" s="35"/>
      <c r="B408" s="80" t="s">
        <v>404</v>
      </c>
      <c r="C408" s="21" t="s">
        <v>801</v>
      </c>
      <c r="D408" s="255" t="s">
        <v>112</v>
      </c>
      <c r="E408" s="21" t="s">
        <v>802</v>
      </c>
      <c r="F408" s="162" t="str">
        <f>IF(wskakunin_sekkei8_KENTIKUSI_NO="","",wskakunin_sekkei8_KENTIKUSI_NO)</f>
        <v/>
      </c>
      <c r="H408" s="22"/>
    </row>
    <row r="409" spans="1:8" ht="12">
      <c r="A409" s="47"/>
      <c r="B409" s="80" t="s">
        <v>194</v>
      </c>
      <c r="C409" s="21" t="s">
        <v>803</v>
      </c>
      <c r="D409" s="162" t="s">
        <v>112</v>
      </c>
      <c r="E409" s="21" t="s">
        <v>804</v>
      </c>
      <c r="F409" s="162" t="str">
        <f>IF(wskakunin_sekkei8_NAME="", "", wskakunin_sekkei8_NAME)</f>
        <v/>
      </c>
      <c r="H409" s="22"/>
    </row>
    <row r="410" spans="1:8" ht="12">
      <c r="A410" s="47"/>
      <c r="B410" s="80" t="s">
        <v>416</v>
      </c>
      <c r="C410" s="21" t="s">
        <v>805</v>
      </c>
      <c r="D410" s="162" t="s">
        <v>112</v>
      </c>
      <c r="E410" s="21" t="s">
        <v>806</v>
      </c>
      <c r="F410" s="162" t="str">
        <f>IF(wskakunin_sekkei8_JIMU__sikaku="", "", wskakunin_sekkei8_JIMU__sikaku)</f>
        <v/>
      </c>
      <c r="H410" s="22"/>
    </row>
    <row r="411" spans="1:8" ht="12">
      <c r="A411" s="47"/>
      <c r="B411" s="80" t="s">
        <v>420</v>
      </c>
      <c r="C411" s="21" t="s">
        <v>807</v>
      </c>
      <c r="D411" s="162" t="s">
        <v>112</v>
      </c>
      <c r="E411" s="21" t="s">
        <v>808</v>
      </c>
      <c r="F411" s="162" t="str">
        <f>IF(wskakunin_sekkei8_JIMU_SIKAKU__label="","",wskakunin_sekkei8_JIMU_SIKAKU__label)</f>
        <v/>
      </c>
      <c r="H411" s="22"/>
    </row>
    <row r="412" spans="1:8" ht="12">
      <c r="A412" s="47"/>
      <c r="B412" s="80" t="s">
        <v>423</v>
      </c>
      <c r="C412" s="21" t="s">
        <v>809</v>
      </c>
      <c r="D412" s="162" t="s">
        <v>112</v>
      </c>
      <c r="E412" s="21" t="s">
        <v>810</v>
      </c>
      <c r="F412" s="162" t="str">
        <f>IF(wskakunin_sekkei8_JIMU_TOUROKU_KIKAN__label="","",wskakunin_sekkei8_JIMU_TOUROKU_KIKAN__label)</f>
        <v/>
      </c>
      <c r="H412" s="22"/>
    </row>
    <row r="413" spans="1:8" ht="12">
      <c r="A413" s="47"/>
      <c r="B413" s="80" t="s">
        <v>427</v>
      </c>
      <c r="C413" s="21" t="s">
        <v>811</v>
      </c>
      <c r="D413" s="255" t="s">
        <v>112</v>
      </c>
      <c r="E413" s="21" t="s">
        <v>812</v>
      </c>
      <c r="F413" s="162" t="str">
        <f>IF(wskakunin_sekkei8_JIMU_NO="","",wskakunin_sekkei8_JIMU_NO)</f>
        <v/>
      </c>
      <c r="H413" s="22"/>
    </row>
    <row r="414" spans="1:8" ht="12">
      <c r="A414" s="63"/>
      <c r="B414" s="80" t="s">
        <v>431</v>
      </c>
      <c r="C414" s="21" t="s">
        <v>813</v>
      </c>
      <c r="D414" s="162" t="s">
        <v>112</v>
      </c>
      <c r="E414" s="21" t="s">
        <v>814</v>
      </c>
      <c r="F414" s="162" t="str">
        <f>IF(wskakunin_sekkei8_JIMU_NAME="", "", wskakunin_sekkei8_JIMU_NAME)</f>
        <v/>
      </c>
      <c r="H414" s="22"/>
    </row>
    <row r="415" spans="1:8" ht="12">
      <c r="A415" s="47"/>
      <c r="B415" s="80" t="s">
        <v>601</v>
      </c>
      <c r="D415" s="37"/>
      <c r="E415" s="21" t="s">
        <v>815</v>
      </c>
      <c r="F415" s="162" t="str">
        <f>wskakunin_sekkei8_JIMU_NAME&amp;" "&amp;wskakunin_sekkei8_NAME</f>
        <v xml:space="preserve"> </v>
      </c>
      <c r="H415" s="22"/>
    </row>
    <row r="416" spans="1:8" ht="12">
      <c r="A416" s="63"/>
      <c r="B416" s="80" t="s">
        <v>205</v>
      </c>
      <c r="C416" s="21" t="s">
        <v>816</v>
      </c>
      <c r="D416" s="255" t="s">
        <v>112</v>
      </c>
      <c r="E416" s="21" t="s">
        <v>817</v>
      </c>
      <c r="F416" s="162" t="str">
        <f>IF(wskakunin_sekkei8_ZIP="", "", wskakunin_sekkei8_ZIP)</f>
        <v/>
      </c>
      <c r="H416" s="22" t="s">
        <v>605</v>
      </c>
    </row>
    <row r="417" spans="1:8" ht="12">
      <c r="A417" s="63"/>
      <c r="B417" s="80" t="s">
        <v>438</v>
      </c>
      <c r="C417" s="21" t="s">
        <v>818</v>
      </c>
      <c r="D417" s="162" t="s">
        <v>112</v>
      </c>
      <c r="E417" s="21" t="s">
        <v>819</v>
      </c>
      <c r="F417" s="162" t="str">
        <f>IF(wskakunin_sekkei8__address="", "", wskakunin_sekkei8__address)</f>
        <v/>
      </c>
      <c r="H417" s="22"/>
    </row>
    <row r="418" spans="1:8" ht="12">
      <c r="A418" s="63"/>
      <c r="B418" s="80" t="s">
        <v>214</v>
      </c>
      <c r="C418" s="21" t="s">
        <v>820</v>
      </c>
      <c r="D418" s="255" t="s">
        <v>112</v>
      </c>
      <c r="E418" s="21" t="s">
        <v>821</v>
      </c>
      <c r="F418" s="162" t="str">
        <f>IF(wskakunin_sekkei8_TEL="", "", wskakunin_sekkei8_TEL)</f>
        <v/>
      </c>
      <c r="H418" s="22"/>
    </row>
    <row r="419" spans="1:8" ht="12">
      <c r="A419" s="63"/>
      <c r="B419" s="80" t="s">
        <v>610</v>
      </c>
      <c r="C419" s="21" t="s">
        <v>822</v>
      </c>
      <c r="D419" s="255" t="s">
        <v>112</v>
      </c>
      <c r="E419" s="21" t="s">
        <v>823</v>
      </c>
      <c r="F419" s="162" t="str">
        <f>IF(wskakunin_sekkei8_DOC="","",wskakunin_sekkei8_DOC)</f>
        <v/>
      </c>
      <c r="H419" s="22"/>
    </row>
    <row r="420" spans="1:8" ht="12">
      <c r="A420" s="63"/>
      <c r="B420" s="88"/>
      <c r="H420" s="22"/>
    </row>
    <row r="421" spans="1:8" ht="12">
      <c r="A421" s="8" t="s">
        <v>824</v>
      </c>
      <c r="B421" s="52"/>
      <c r="H421" s="22"/>
    </row>
    <row r="422" spans="1:8" ht="12">
      <c r="A422" s="30"/>
      <c r="B422" s="80" t="s">
        <v>392</v>
      </c>
      <c r="C422" s="21" t="s">
        <v>825</v>
      </c>
      <c r="D422" s="162" t="s">
        <v>112</v>
      </c>
      <c r="E422" s="21" t="s">
        <v>826</v>
      </c>
      <c r="F422" s="162" t="str">
        <f>IF(wskakunin_sekkei9__sikaku="", "", wskakunin_sekkei9__sikaku)</f>
        <v/>
      </c>
      <c r="H422" s="22"/>
    </row>
    <row r="423" spans="1:8" ht="12">
      <c r="A423" s="35"/>
      <c r="B423" s="80" t="s">
        <v>396</v>
      </c>
      <c r="C423" s="21" t="s">
        <v>827</v>
      </c>
      <c r="D423" s="162" t="s">
        <v>112</v>
      </c>
      <c r="E423" s="21" t="s">
        <v>828</v>
      </c>
      <c r="F423" s="162" t="str">
        <f>IF(wskakunin_sekkei9_SIKAKU__label="","",wskakunin_sekkei9_SIKAKU__label)</f>
        <v/>
      </c>
      <c r="H423" s="22"/>
    </row>
    <row r="424" spans="1:8" ht="12">
      <c r="A424" s="35"/>
      <c r="B424" s="80" t="s">
        <v>400</v>
      </c>
      <c r="C424" s="21" t="s">
        <v>829</v>
      </c>
      <c r="D424" s="162" t="s">
        <v>112</v>
      </c>
      <c r="E424" s="21" t="s">
        <v>830</v>
      </c>
      <c r="F424" s="162" t="str">
        <f>IF(wskakunin_sekkei9_TOUROKU_KIKAN__label="","",wskakunin_sekkei9_TOUROKU_KIKAN__label)</f>
        <v/>
      </c>
      <c r="H424" s="22"/>
    </row>
    <row r="425" spans="1:8" ht="12">
      <c r="A425" s="35"/>
      <c r="B425" s="80" t="s">
        <v>404</v>
      </c>
      <c r="C425" s="21" t="s">
        <v>831</v>
      </c>
      <c r="D425" s="255" t="s">
        <v>112</v>
      </c>
      <c r="E425" s="21" t="s">
        <v>832</v>
      </c>
      <c r="F425" s="162" t="str">
        <f>IF(wskakunin_sekkei9_KENTIKUSI_NO="","",wskakunin_sekkei9_KENTIKUSI_NO)</f>
        <v/>
      </c>
      <c r="H425" s="22"/>
    </row>
    <row r="426" spans="1:8" ht="12">
      <c r="A426" s="47"/>
      <c r="B426" s="80" t="s">
        <v>194</v>
      </c>
      <c r="C426" s="21" t="s">
        <v>833</v>
      </c>
      <c r="D426" s="162" t="s">
        <v>112</v>
      </c>
      <c r="E426" s="21" t="s">
        <v>834</v>
      </c>
      <c r="F426" s="162" t="str">
        <f>IF(wskakunin_sekkei9_NAME="", "", wskakunin_sekkei9_NAME)</f>
        <v/>
      </c>
      <c r="H426" s="22"/>
    </row>
    <row r="427" spans="1:8" ht="12">
      <c r="A427" s="47"/>
      <c r="B427" s="80" t="s">
        <v>416</v>
      </c>
      <c r="C427" s="21" t="s">
        <v>835</v>
      </c>
      <c r="D427" s="162" t="s">
        <v>112</v>
      </c>
      <c r="E427" s="21" t="s">
        <v>836</v>
      </c>
      <c r="F427" s="162" t="str">
        <f>IF(wskakunin_sekkei9_JIMU__sikaku="", "", wskakunin_sekkei9_JIMU__sikaku)</f>
        <v/>
      </c>
      <c r="H427" s="22"/>
    </row>
    <row r="428" spans="1:8" ht="12">
      <c r="A428" s="47"/>
      <c r="B428" s="80" t="s">
        <v>420</v>
      </c>
      <c r="C428" s="21" t="s">
        <v>837</v>
      </c>
      <c r="D428" s="162" t="s">
        <v>112</v>
      </c>
      <c r="E428" s="21" t="s">
        <v>838</v>
      </c>
      <c r="F428" s="162" t="str">
        <f>IF(wskakunin_sekkei9_JIMU_SIKAKU__label="","",wskakunin_sekkei9_JIMU_SIKAKU__label)</f>
        <v/>
      </c>
      <c r="H428" s="22"/>
    </row>
    <row r="429" spans="1:8" ht="12">
      <c r="A429" s="47"/>
      <c r="B429" s="80" t="s">
        <v>423</v>
      </c>
      <c r="C429" s="21" t="s">
        <v>839</v>
      </c>
      <c r="D429" s="162" t="s">
        <v>112</v>
      </c>
      <c r="E429" s="21" t="s">
        <v>840</v>
      </c>
      <c r="F429" s="162" t="str">
        <f>IF(wskakunin_sekkei9_JIMU_TOUROKU_KIKAN__label="","",wskakunin_sekkei9_JIMU_TOUROKU_KIKAN__label)</f>
        <v/>
      </c>
      <c r="H429" s="22"/>
    </row>
    <row r="430" spans="1:8" ht="12">
      <c r="A430" s="47"/>
      <c r="B430" s="80" t="s">
        <v>427</v>
      </c>
      <c r="C430" s="21" t="s">
        <v>841</v>
      </c>
      <c r="D430" s="255" t="s">
        <v>112</v>
      </c>
      <c r="E430" s="21" t="s">
        <v>842</v>
      </c>
      <c r="F430" s="162" t="str">
        <f>IF(wskakunin_sekkei9_JIMU_NO="","",wskakunin_sekkei9_JIMU_NO)</f>
        <v/>
      </c>
      <c r="H430" s="22"/>
    </row>
    <row r="431" spans="1:8" ht="12">
      <c r="A431" s="63"/>
      <c r="B431" s="80" t="s">
        <v>431</v>
      </c>
      <c r="C431" s="21" t="s">
        <v>843</v>
      </c>
      <c r="D431" s="162" t="s">
        <v>112</v>
      </c>
      <c r="E431" s="21" t="s">
        <v>844</v>
      </c>
      <c r="F431" s="162" t="str">
        <f>IF(wskakunin_sekkei9_JIMU_NAME="", "", wskakunin_sekkei9_JIMU_NAME)</f>
        <v/>
      </c>
      <c r="H431" s="22"/>
    </row>
    <row r="432" spans="1:8" ht="12">
      <c r="A432" s="47"/>
      <c r="B432" s="80" t="s">
        <v>601</v>
      </c>
      <c r="D432" s="37"/>
      <c r="E432" s="21" t="s">
        <v>845</v>
      </c>
      <c r="F432" s="162" t="str">
        <f>wskakunin_sekkei9_JIMU_NAME&amp;" "&amp;wskakunin_sekkei9_NAME</f>
        <v xml:space="preserve"> </v>
      </c>
      <c r="H432" s="22"/>
    </row>
    <row r="433" spans="1:8" ht="12">
      <c r="A433" s="63"/>
      <c r="B433" s="80" t="s">
        <v>205</v>
      </c>
      <c r="C433" s="21" t="s">
        <v>846</v>
      </c>
      <c r="D433" s="255" t="s">
        <v>112</v>
      </c>
      <c r="E433" s="21" t="s">
        <v>847</v>
      </c>
      <c r="F433" s="162" t="str">
        <f>IF(wskakunin_sekkei9_ZIP="", "", wskakunin_sekkei9_ZIP)</f>
        <v/>
      </c>
      <c r="H433" s="22" t="s">
        <v>605</v>
      </c>
    </row>
    <row r="434" spans="1:8" ht="12">
      <c r="A434" s="63"/>
      <c r="B434" s="80" t="s">
        <v>438</v>
      </c>
      <c r="C434" s="21" t="s">
        <v>848</v>
      </c>
      <c r="D434" s="162" t="s">
        <v>112</v>
      </c>
      <c r="E434" s="21" t="s">
        <v>849</v>
      </c>
      <c r="F434" s="162" t="str">
        <f>IF(wskakunin_sekkei9__address="", "", wskakunin_sekkei9__address)</f>
        <v/>
      </c>
      <c r="H434" s="22"/>
    </row>
    <row r="435" spans="1:8" ht="12">
      <c r="A435" s="63"/>
      <c r="B435" s="80" t="s">
        <v>214</v>
      </c>
      <c r="C435" s="21" t="s">
        <v>850</v>
      </c>
      <c r="D435" s="255" t="s">
        <v>112</v>
      </c>
      <c r="E435" s="21" t="s">
        <v>851</v>
      </c>
      <c r="F435" s="162" t="str">
        <f>IF(wskakunin_sekkei9_TEL="", "", wskakunin_sekkei9_TEL)</f>
        <v/>
      </c>
      <c r="H435" s="22"/>
    </row>
    <row r="436" spans="1:8" ht="12">
      <c r="A436" s="63"/>
      <c r="B436" s="80" t="s">
        <v>610</v>
      </c>
      <c r="C436" s="21" t="s">
        <v>852</v>
      </c>
      <c r="D436" s="255" t="s">
        <v>112</v>
      </c>
      <c r="E436" s="21" t="s">
        <v>853</v>
      </c>
      <c r="F436" s="162" t="str">
        <f>IF(wskakunin_sekkei9_DOC="","",wskakunin_sekkei9_DOC)</f>
        <v/>
      </c>
      <c r="H436" s="22"/>
    </row>
    <row r="437" spans="1:8" ht="12">
      <c r="A437" s="63"/>
      <c r="B437" s="88"/>
      <c r="H437" s="22"/>
    </row>
    <row r="438" spans="1:8" ht="12">
      <c r="A438" s="8" t="s">
        <v>854</v>
      </c>
      <c r="B438" s="52"/>
      <c r="H438" s="22"/>
    </row>
    <row r="439" spans="1:8" ht="12">
      <c r="A439" s="30"/>
      <c r="B439" s="80" t="s">
        <v>392</v>
      </c>
      <c r="C439" s="21" t="s">
        <v>855</v>
      </c>
      <c r="D439" s="162" t="s">
        <v>112</v>
      </c>
      <c r="E439" s="21" t="s">
        <v>856</v>
      </c>
      <c r="F439" s="162" t="str">
        <f>IF(wskakunin_sekkei10__sikaku="", "", wskakunin_sekkei10__sikaku)</f>
        <v/>
      </c>
      <c r="H439" s="22"/>
    </row>
    <row r="440" spans="1:8" ht="12">
      <c r="A440" s="35"/>
      <c r="B440" s="80" t="s">
        <v>396</v>
      </c>
      <c r="C440" s="21" t="s">
        <v>857</v>
      </c>
      <c r="D440" s="162" t="s">
        <v>112</v>
      </c>
      <c r="E440" s="21" t="s">
        <v>858</v>
      </c>
      <c r="F440" s="162" t="str">
        <f>IF(wskakunin_sekkei10_SIKAKU__label="","",wskakunin_sekkei10_SIKAKU__label)</f>
        <v/>
      </c>
      <c r="H440" s="22"/>
    </row>
    <row r="441" spans="1:8" ht="12">
      <c r="A441" s="35"/>
      <c r="B441" s="80" t="s">
        <v>400</v>
      </c>
      <c r="C441" s="21" t="s">
        <v>859</v>
      </c>
      <c r="D441" s="162" t="s">
        <v>112</v>
      </c>
      <c r="E441" s="21" t="s">
        <v>860</v>
      </c>
      <c r="F441" s="162" t="str">
        <f>IF(wskakunin_sekkei10_TOUROKU_KIKAN__label="","",wskakunin_sekkei10_TOUROKU_KIKAN__label)</f>
        <v/>
      </c>
      <c r="H441" s="22"/>
    </row>
    <row r="442" spans="1:8" ht="12">
      <c r="A442" s="35"/>
      <c r="B442" s="80" t="s">
        <v>404</v>
      </c>
      <c r="C442" s="21" t="s">
        <v>861</v>
      </c>
      <c r="D442" s="255" t="s">
        <v>112</v>
      </c>
      <c r="E442" s="21" t="s">
        <v>862</v>
      </c>
      <c r="F442" s="162" t="str">
        <f>IF(wskakunin_sekkei10_KENTIKUSI_NO="","",wskakunin_sekkei10_KENTIKUSI_NO)</f>
        <v/>
      </c>
      <c r="H442" s="22"/>
    </row>
    <row r="443" spans="1:8" ht="12">
      <c r="A443" s="47"/>
      <c r="B443" s="80" t="s">
        <v>194</v>
      </c>
      <c r="C443" s="21" t="s">
        <v>863</v>
      </c>
      <c r="D443" s="162" t="s">
        <v>112</v>
      </c>
      <c r="E443" s="21" t="s">
        <v>864</v>
      </c>
      <c r="F443" s="162" t="str">
        <f>IF(wskakunin_sekkei10_NAME="", "", wskakunin_sekkei10_NAME)</f>
        <v/>
      </c>
      <c r="H443" s="22"/>
    </row>
    <row r="444" spans="1:8" ht="12">
      <c r="A444" s="47"/>
      <c r="B444" s="80" t="s">
        <v>416</v>
      </c>
      <c r="C444" s="21" t="s">
        <v>865</v>
      </c>
      <c r="D444" s="162" t="s">
        <v>112</v>
      </c>
      <c r="E444" s="21" t="s">
        <v>866</v>
      </c>
      <c r="F444" s="162" t="str">
        <f>IF(wskakunin_sekkei10_JIMU__sikaku="", "", wskakunin_sekkei10_JIMU__sikaku)</f>
        <v/>
      </c>
      <c r="H444" s="22"/>
    </row>
    <row r="445" spans="1:8" ht="12">
      <c r="A445" s="47"/>
      <c r="B445" s="80" t="s">
        <v>420</v>
      </c>
      <c r="C445" s="21" t="s">
        <v>867</v>
      </c>
      <c r="D445" s="162" t="s">
        <v>112</v>
      </c>
      <c r="E445" s="21" t="s">
        <v>868</v>
      </c>
      <c r="F445" s="162" t="str">
        <f>IF(wskakunin_sekkei10_JIMU_SIKAKU__label="","",wskakunin_sekkei10_JIMU_SIKAKU__label)</f>
        <v/>
      </c>
      <c r="H445" s="22"/>
    </row>
    <row r="446" spans="1:8" ht="12">
      <c r="A446" s="47"/>
      <c r="B446" s="80" t="s">
        <v>423</v>
      </c>
      <c r="C446" s="21" t="s">
        <v>869</v>
      </c>
      <c r="D446" s="162" t="s">
        <v>112</v>
      </c>
      <c r="E446" s="21" t="s">
        <v>870</v>
      </c>
      <c r="F446" s="162" t="str">
        <f>IF(wskakunin_sekkei10_JIMU_TOUROKU_KIKAN__label="","",wskakunin_sekkei10_JIMU_TOUROKU_KIKAN__label)</f>
        <v/>
      </c>
      <c r="H446" s="22"/>
    </row>
    <row r="447" spans="1:8" ht="12">
      <c r="A447" s="47"/>
      <c r="B447" s="80" t="s">
        <v>427</v>
      </c>
      <c r="C447" s="21" t="s">
        <v>871</v>
      </c>
      <c r="D447" s="255" t="s">
        <v>112</v>
      </c>
      <c r="E447" s="21" t="s">
        <v>872</v>
      </c>
      <c r="F447" s="162" t="str">
        <f>IF(wskakunin_sekkei10_JIMU_NO="","",wskakunin_sekkei10_JIMU_NO)</f>
        <v/>
      </c>
      <c r="H447" s="22"/>
    </row>
    <row r="448" spans="1:8" ht="12">
      <c r="A448" s="63"/>
      <c r="B448" s="80" t="s">
        <v>431</v>
      </c>
      <c r="C448" s="21" t="s">
        <v>873</v>
      </c>
      <c r="D448" s="162" t="s">
        <v>112</v>
      </c>
      <c r="E448" s="21" t="s">
        <v>874</v>
      </c>
      <c r="F448" s="162" t="str">
        <f>IF(wskakunin_sekkei10_JIMU_NAME="", "", wskakunin_sekkei10_JIMU_NAME)</f>
        <v/>
      </c>
      <c r="H448" s="22"/>
    </row>
    <row r="449" spans="1:8" ht="12">
      <c r="A449" s="47"/>
      <c r="B449" s="80" t="s">
        <v>601</v>
      </c>
      <c r="D449" s="37"/>
      <c r="E449" s="21" t="s">
        <v>875</v>
      </c>
      <c r="F449" s="162" t="str">
        <f>wskakunin_sekkei10_JIMU_NAME&amp;" "&amp;wskakunin_sekkei10_NAME</f>
        <v xml:space="preserve"> </v>
      </c>
      <c r="H449" s="22"/>
    </row>
    <row r="450" spans="1:8" ht="12">
      <c r="A450" s="63"/>
      <c r="B450" s="80" t="s">
        <v>205</v>
      </c>
      <c r="C450" s="21" t="s">
        <v>876</v>
      </c>
      <c r="D450" s="255" t="s">
        <v>112</v>
      </c>
      <c r="E450" s="21" t="s">
        <v>877</v>
      </c>
      <c r="F450" s="162" t="str">
        <f>IF(wskakunin_sekkei10_ZIP="", "", wskakunin_sekkei10_ZIP)</f>
        <v/>
      </c>
      <c r="H450" s="22" t="s">
        <v>605</v>
      </c>
    </row>
    <row r="451" spans="1:8" ht="12">
      <c r="A451" s="63"/>
      <c r="B451" s="80" t="s">
        <v>438</v>
      </c>
      <c r="C451" s="21" t="s">
        <v>878</v>
      </c>
      <c r="D451" s="162" t="s">
        <v>112</v>
      </c>
      <c r="E451" s="21" t="s">
        <v>879</v>
      </c>
      <c r="F451" s="162" t="str">
        <f>IF(wskakunin_sekkei10__address="", "", wskakunin_sekkei10__address)</f>
        <v/>
      </c>
      <c r="H451" s="22"/>
    </row>
    <row r="452" spans="1:8" ht="12">
      <c r="A452" s="63"/>
      <c r="B452" s="80" t="s">
        <v>214</v>
      </c>
      <c r="C452" s="21" t="s">
        <v>880</v>
      </c>
      <c r="D452" s="255" t="s">
        <v>112</v>
      </c>
      <c r="E452" s="21" t="s">
        <v>881</v>
      </c>
      <c r="F452" s="162" t="str">
        <f>IF(wskakunin_sekkei10_TEL="", "", wskakunin_sekkei10_TEL)</f>
        <v/>
      </c>
      <c r="H452" s="22"/>
    </row>
    <row r="453" spans="1:8" ht="12">
      <c r="A453" s="63"/>
      <c r="B453" s="80" t="s">
        <v>610</v>
      </c>
      <c r="C453" s="21" t="s">
        <v>882</v>
      </c>
      <c r="D453" s="255" t="s">
        <v>112</v>
      </c>
      <c r="E453" s="21" t="s">
        <v>883</v>
      </c>
      <c r="F453" s="162" t="str">
        <f>IF(wskakunin_sekkei10_DOC="","",wskakunin_sekkei10_DOC)</f>
        <v/>
      </c>
      <c r="H453" s="22"/>
    </row>
    <row r="454" spans="1:8" ht="12">
      <c r="A454" s="63"/>
      <c r="B454" s="88"/>
      <c r="H454" s="22"/>
    </row>
    <row r="455" spans="1:8" ht="12">
      <c r="A455" s="8" t="s">
        <v>884</v>
      </c>
      <c r="B455" s="52"/>
      <c r="H455" s="22"/>
    </row>
    <row r="456" spans="1:8" ht="12">
      <c r="A456" s="30"/>
      <c r="B456" s="80" t="s">
        <v>392</v>
      </c>
      <c r="C456" s="21" t="s">
        <v>885</v>
      </c>
      <c r="D456" s="162" t="s">
        <v>112</v>
      </c>
      <c r="E456" s="21" t="s">
        <v>886</v>
      </c>
      <c r="F456" s="162" t="str">
        <f>IF(wskakunin_sekkei11__sikaku="", "", wskakunin_sekkei11__sikaku)</f>
        <v/>
      </c>
      <c r="H456" s="22"/>
    </row>
    <row r="457" spans="1:8" ht="12">
      <c r="A457" s="35"/>
      <c r="B457" s="80" t="s">
        <v>396</v>
      </c>
      <c r="C457" s="21" t="s">
        <v>887</v>
      </c>
      <c r="D457" s="162" t="s">
        <v>112</v>
      </c>
      <c r="E457" s="21" t="s">
        <v>888</v>
      </c>
      <c r="F457" s="162" t="str">
        <f>IF(wskakunin_sekkei11_SIKAKU__label="","",wskakunin_sekkei11_SIKAKU__label)</f>
        <v/>
      </c>
      <c r="H457" s="22"/>
    </row>
    <row r="458" spans="1:8" ht="12">
      <c r="A458" s="35"/>
      <c r="B458" s="80" t="s">
        <v>400</v>
      </c>
      <c r="C458" s="21" t="s">
        <v>889</v>
      </c>
      <c r="D458" s="162" t="s">
        <v>112</v>
      </c>
      <c r="E458" s="21" t="s">
        <v>890</v>
      </c>
      <c r="F458" s="162" t="str">
        <f>IF(wskakunin_sekkei11_TOUROKU_KIKAN__label="","",wskakunin_sekkei11_TOUROKU_KIKAN__label)</f>
        <v/>
      </c>
      <c r="H458" s="22"/>
    </row>
    <row r="459" spans="1:8" ht="12">
      <c r="A459" s="35"/>
      <c r="B459" s="80" t="s">
        <v>404</v>
      </c>
      <c r="C459" s="21" t="s">
        <v>891</v>
      </c>
      <c r="D459" s="255" t="s">
        <v>112</v>
      </c>
      <c r="E459" s="21" t="s">
        <v>892</v>
      </c>
      <c r="F459" s="162" t="str">
        <f>IF(wskakunin_sekkei11_KENTIKUSI_NO="","",wskakunin_sekkei11_KENTIKUSI_NO)</f>
        <v/>
      </c>
      <c r="H459" s="22"/>
    </row>
    <row r="460" spans="1:8" ht="12">
      <c r="A460" s="47"/>
      <c r="B460" s="80" t="s">
        <v>194</v>
      </c>
      <c r="C460" s="21" t="s">
        <v>893</v>
      </c>
      <c r="D460" s="162" t="s">
        <v>112</v>
      </c>
      <c r="E460" s="21" t="s">
        <v>894</v>
      </c>
      <c r="F460" s="162" t="str">
        <f>IF(wskakunin_sekkei11_NAME="", "", wskakunin_sekkei11_NAME)</f>
        <v/>
      </c>
      <c r="H460" s="22"/>
    </row>
    <row r="461" spans="1:8" ht="12">
      <c r="A461" s="47"/>
      <c r="B461" s="80" t="s">
        <v>416</v>
      </c>
      <c r="C461" s="21" t="s">
        <v>895</v>
      </c>
      <c r="D461" s="162" t="s">
        <v>112</v>
      </c>
      <c r="E461" s="21" t="s">
        <v>896</v>
      </c>
      <c r="F461" s="162" t="str">
        <f>IF(wskakunin_sekkei11_JIMU__sikaku="", "", wskakunin_sekkei11_JIMU__sikaku)</f>
        <v/>
      </c>
      <c r="H461" s="22"/>
    </row>
    <row r="462" spans="1:8" ht="12">
      <c r="A462" s="47"/>
      <c r="B462" s="80" t="s">
        <v>420</v>
      </c>
      <c r="C462" s="21" t="s">
        <v>897</v>
      </c>
      <c r="D462" s="162" t="s">
        <v>112</v>
      </c>
      <c r="E462" s="21" t="s">
        <v>898</v>
      </c>
      <c r="F462" s="162" t="str">
        <f>IF(wskakunin_sekkei11_JIMU_SIKAKU__label="","",wskakunin_sekkei11_JIMU_SIKAKU__label)</f>
        <v/>
      </c>
      <c r="H462" s="22"/>
    </row>
    <row r="463" spans="1:8" ht="12">
      <c r="A463" s="47"/>
      <c r="B463" s="80" t="s">
        <v>423</v>
      </c>
      <c r="C463" s="21" t="s">
        <v>899</v>
      </c>
      <c r="D463" s="162" t="s">
        <v>112</v>
      </c>
      <c r="E463" s="21" t="s">
        <v>900</v>
      </c>
      <c r="F463" s="162" t="str">
        <f>IF(wskakunin_sekkei11_JIMU_TOUROKU_KIKAN__label="","",wskakunin_sekkei11_JIMU_TOUROKU_KIKAN__label)</f>
        <v/>
      </c>
      <c r="H463" s="22"/>
    </row>
    <row r="464" spans="1:8" ht="12">
      <c r="A464" s="47"/>
      <c r="B464" s="80" t="s">
        <v>427</v>
      </c>
      <c r="C464" s="21" t="s">
        <v>901</v>
      </c>
      <c r="D464" s="255" t="s">
        <v>112</v>
      </c>
      <c r="E464" s="21" t="s">
        <v>902</v>
      </c>
      <c r="F464" s="162" t="str">
        <f>IF(wskakunin_sekkei11_JIMU_NO="","",wskakunin_sekkei11_JIMU_NO)</f>
        <v/>
      </c>
      <c r="H464" s="22"/>
    </row>
    <row r="465" spans="1:8" ht="12">
      <c r="A465" s="63"/>
      <c r="B465" s="80" t="s">
        <v>431</v>
      </c>
      <c r="C465" s="21" t="s">
        <v>903</v>
      </c>
      <c r="D465" s="162" t="s">
        <v>112</v>
      </c>
      <c r="E465" s="21" t="s">
        <v>904</v>
      </c>
      <c r="F465" s="162" t="str">
        <f>IF(wskakunin_sekkei11_JIMU_NAME="", "", wskakunin_sekkei11_JIMU_NAME)</f>
        <v/>
      </c>
      <c r="H465" s="22"/>
    </row>
    <row r="466" spans="1:8" ht="12">
      <c r="A466" s="47"/>
      <c r="B466" s="80" t="s">
        <v>601</v>
      </c>
      <c r="D466" s="37"/>
      <c r="E466" s="21" t="s">
        <v>905</v>
      </c>
      <c r="F466" s="162" t="str">
        <f>wskakunin_sekkei11_JIMU_NAME&amp;" "&amp;wskakunin_sekkei11_NAME</f>
        <v xml:space="preserve"> </v>
      </c>
      <c r="H466" s="22"/>
    </row>
    <row r="467" spans="1:8" ht="12">
      <c r="A467" s="63"/>
      <c r="B467" s="80" t="s">
        <v>205</v>
      </c>
      <c r="C467" s="21" t="s">
        <v>906</v>
      </c>
      <c r="D467" s="255" t="s">
        <v>112</v>
      </c>
      <c r="E467" s="21" t="s">
        <v>907</v>
      </c>
      <c r="F467" s="162" t="str">
        <f>IF(wskakunin_sekkei11_ZIP="", "", wskakunin_sekkei11_ZIP)</f>
        <v/>
      </c>
      <c r="H467" s="22" t="s">
        <v>605</v>
      </c>
    </row>
    <row r="468" spans="1:8" ht="12">
      <c r="A468" s="63"/>
      <c r="B468" s="80" t="s">
        <v>438</v>
      </c>
      <c r="C468" s="21" t="s">
        <v>908</v>
      </c>
      <c r="D468" s="162" t="s">
        <v>112</v>
      </c>
      <c r="E468" s="21" t="s">
        <v>909</v>
      </c>
      <c r="F468" s="162" t="str">
        <f>IF(wskakunin_sekkei11__address="", "", wskakunin_sekkei11__address)</f>
        <v/>
      </c>
      <c r="H468" s="22"/>
    </row>
    <row r="469" spans="1:8" ht="12">
      <c r="A469" s="63"/>
      <c r="B469" s="80" t="s">
        <v>214</v>
      </c>
      <c r="C469" s="21" t="s">
        <v>910</v>
      </c>
      <c r="D469" s="255" t="s">
        <v>112</v>
      </c>
      <c r="E469" s="21" t="s">
        <v>911</v>
      </c>
      <c r="F469" s="162" t="str">
        <f>IF(wskakunin_sekkei11_TEL="", "", wskakunin_sekkei11_TEL)</f>
        <v/>
      </c>
      <c r="H469" s="22"/>
    </row>
    <row r="470" spans="1:8" ht="12">
      <c r="A470" s="63"/>
      <c r="B470" s="80" t="s">
        <v>610</v>
      </c>
      <c r="C470" s="21" t="s">
        <v>912</v>
      </c>
      <c r="D470" s="255" t="s">
        <v>112</v>
      </c>
      <c r="E470" s="21" t="s">
        <v>913</v>
      </c>
      <c r="F470" s="162" t="str">
        <f>IF(wskakunin_sekkei11_DOC="","",wskakunin_sekkei11_DOC)</f>
        <v/>
      </c>
      <c r="H470" s="22"/>
    </row>
    <row r="471" spans="1:8" ht="12">
      <c r="A471" s="63"/>
      <c r="B471" s="88"/>
      <c r="G471" s="22"/>
      <c r="H471" s="22"/>
    </row>
    <row r="472" spans="1:8" ht="12">
      <c r="A472" s="8" t="s">
        <v>914</v>
      </c>
      <c r="B472" s="52"/>
      <c r="H472" s="22"/>
    </row>
    <row r="473" spans="1:8" ht="12">
      <c r="A473" s="30"/>
      <c r="B473" s="80" t="s">
        <v>392</v>
      </c>
      <c r="C473" s="21" t="s">
        <v>915</v>
      </c>
      <c r="D473" s="162" t="s">
        <v>112</v>
      </c>
      <c r="E473" s="21" t="s">
        <v>916</v>
      </c>
      <c r="F473" s="162" t="str">
        <f>IF(wskakunin_sekkei12__sikaku="", "", wskakunin_sekkei12__sikaku)</f>
        <v/>
      </c>
      <c r="H473" s="22"/>
    </row>
    <row r="474" spans="1:8" ht="12">
      <c r="A474" s="35"/>
      <c r="B474" s="80" t="s">
        <v>396</v>
      </c>
      <c r="C474" s="21" t="s">
        <v>917</v>
      </c>
      <c r="D474" s="162" t="s">
        <v>112</v>
      </c>
      <c r="E474" s="21" t="s">
        <v>918</v>
      </c>
      <c r="F474" s="162" t="str">
        <f>IF(wskakunin_sekkei12_SIKAKU__label="","",wskakunin_sekkei12_SIKAKU__label)</f>
        <v/>
      </c>
      <c r="H474" s="22"/>
    </row>
    <row r="475" spans="1:8" ht="12">
      <c r="A475" s="35"/>
      <c r="B475" s="80" t="s">
        <v>400</v>
      </c>
      <c r="C475" s="21" t="s">
        <v>919</v>
      </c>
      <c r="D475" s="162" t="s">
        <v>112</v>
      </c>
      <c r="E475" s="21" t="s">
        <v>920</v>
      </c>
      <c r="F475" s="162" t="str">
        <f>IF(wskakunin_sekkei12_TOUROKU_KIKAN__label="","",wskakunin_sekkei12_TOUROKU_KIKAN__label)</f>
        <v/>
      </c>
      <c r="H475" s="22"/>
    </row>
    <row r="476" spans="1:8" ht="12">
      <c r="A476" s="35"/>
      <c r="B476" s="80" t="s">
        <v>404</v>
      </c>
      <c r="C476" s="21" t="s">
        <v>921</v>
      </c>
      <c r="D476" s="255" t="s">
        <v>112</v>
      </c>
      <c r="E476" s="21" t="s">
        <v>922</v>
      </c>
      <c r="F476" s="162" t="str">
        <f>IF(wskakunin_sekkei12_KENTIKUSI_NO="","",wskakunin_sekkei12_KENTIKUSI_NO)</f>
        <v/>
      </c>
      <c r="H476" s="22"/>
    </row>
    <row r="477" spans="1:8" ht="12">
      <c r="A477" s="47"/>
      <c r="B477" s="80" t="s">
        <v>194</v>
      </c>
      <c r="C477" s="21" t="s">
        <v>923</v>
      </c>
      <c r="D477" s="162" t="s">
        <v>112</v>
      </c>
      <c r="E477" s="21" t="s">
        <v>924</v>
      </c>
      <c r="F477" s="162" t="str">
        <f>IF(wskakunin_sekkei12_NAME="", "", wskakunin_sekkei12_NAME)</f>
        <v/>
      </c>
      <c r="H477" s="22"/>
    </row>
    <row r="478" spans="1:8" ht="12">
      <c r="A478" s="47"/>
      <c r="B478" s="80" t="s">
        <v>416</v>
      </c>
      <c r="C478" s="21" t="s">
        <v>925</v>
      </c>
      <c r="D478" s="162" t="s">
        <v>112</v>
      </c>
      <c r="E478" s="21" t="s">
        <v>926</v>
      </c>
      <c r="F478" s="162" t="str">
        <f>IF(wskakunin_sekkei12_JIMU__sikaku="", "", wskakunin_sekkei12_JIMU__sikaku)</f>
        <v/>
      </c>
      <c r="H478" s="22"/>
    </row>
    <row r="479" spans="1:8" ht="12">
      <c r="A479" s="47"/>
      <c r="B479" s="80" t="s">
        <v>420</v>
      </c>
      <c r="C479" s="21" t="s">
        <v>927</v>
      </c>
      <c r="D479" s="162" t="s">
        <v>112</v>
      </c>
      <c r="E479" s="21" t="s">
        <v>928</v>
      </c>
      <c r="F479" s="162" t="str">
        <f>IF(wskakunin_sekkei12_JIMU_SIKAKU__label="","",wskakunin_sekkei12_JIMU_SIKAKU__label)</f>
        <v/>
      </c>
      <c r="H479" s="22"/>
    </row>
    <row r="480" spans="1:8" ht="12">
      <c r="A480" s="47"/>
      <c r="B480" s="80" t="s">
        <v>423</v>
      </c>
      <c r="C480" s="21" t="s">
        <v>929</v>
      </c>
      <c r="D480" s="162" t="s">
        <v>112</v>
      </c>
      <c r="E480" s="21" t="s">
        <v>930</v>
      </c>
      <c r="F480" s="162" t="str">
        <f>IF(wskakunin_sekkei12_JIMU_TOUROKU_KIKAN__label="","",wskakunin_sekkei12_JIMU_TOUROKU_KIKAN__label)</f>
        <v/>
      </c>
      <c r="H480" s="22"/>
    </row>
    <row r="481" spans="1:8" ht="12">
      <c r="A481" s="47"/>
      <c r="B481" s="80" t="s">
        <v>427</v>
      </c>
      <c r="C481" s="21" t="s">
        <v>931</v>
      </c>
      <c r="D481" s="255" t="s">
        <v>112</v>
      </c>
      <c r="E481" s="21" t="s">
        <v>932</v>
      </c>
      <c r="F481" s="162" t="str">
        <f>IF(wskakunin_sekkei12_JIMU_NO="","",wskakunin_sekkei12_JIMU_NO)</f>
        <v/>
      </c>
      <c r="H481" s="22"/>
    </row>
    <row r="482" spans="1:8" ht="12">
      <c r="A482" s="63"/>
      <c r="B482" s="80" t="s">
        <v>431</v>
      </c>
      <c r="C482" s="21" t="s">
        <v>933</v>
      </c>
      <c r="D482" s="162" t="s">
        <v>112</v>
      </c>
      <c r="E482" s="21" t="s">
        <v>934</v>
      </c>
      <c r="F482" s="162" t="str">
        <f>IF(wskakunin_sekkei12_JIMU_NAME="", "", wskakunin_sekkei12_JIMU_NAME)</f>
        <v/>
      </c>
      <c r="H482" s="22"/>
    </row>
    <row r="483" spans="1:8" ht="12">
      <c r="A483" s="47"/>
      <c r="B483" s="80" t="s">
        <v>601</v>
      </c>
      <c r="D483" s="37"/>
      <c r="E483" s="21" t="s">
        <v>935</v>
      </c>
      <c r="F483" s="162" t="str">
        <f>wskakunin_sekkei12_JIMU_NAME&amp;" "&amp;wskakunin_sekkei12_NAME</f>
        <v xml:space="preserve"> </v>
      </c>
      <c r="H483" s="22"/>
    </row>
    <row r="484" spans="1:8" ht="12">
      <c r="A484" s="63"/>
      <c r="B484" s="80" t="s">
        <v>205</v>
      </c>
      <c r="C484" s="21" t="s">
        <v>936</v>
      </c>
      <c r="D484" s="255" t="s">
        <v>112</v>
      </c>
      <c r="E484" s="21" t="s">
        <v>937</v>
      </c>
      <c r="F484" s="162" t="str">
        <f>IF(wskakunin_sekkei12_ZIP="", "", wskakunin_sekkei12_ZIP)</f>
        <v/>
      </c>
      <c r="H484" s="22" t="s">
        <v>605</v>
      </c>
    </row>
    <row r="485" spans="1:8" ht="12">
      <c r="A485" s="63"/>
      <c r="B485" s="80" t="s">
        <v>438</v>
      </c>
      <c r="C485" s="21" t="s">
        <v>938</v>
      </c>
      <c r="D485" s="162" t="s">
        <v>112</v>
      </c>
      <c r="E485" s="21" t="s">
        <v>939</v>
      </c>
      <c r="F485" s="162" t="str">
        <f>IF(wskakunin_sekkei12__address="", "", wskakunin_sekkei12__address)</f>
        <v/>
      </c>
      <c r="H485" s="22"/>
    </row>
    <row r="486" spans="1:8" ht="12">
      <c r="A486" s="63"/>
      <c r="B486" s="80" t="s">
        <v>214</v>
      </c>
      <c r="C486" s="21" t="s">
        <v>940</v>
      </c>
      <c r="D486" s="255" t="s">
        <v>112</v>
      </c>
      <c r="E486" s="21" t="s">
        <v>941</v>
      </c>
      <c r="F486" s="162" t="str">
        <f>IF(wskakunin_sekkei12_TEL="", "", wskakunin_sekkei12_TEL)</f>
        <v/>
      </c>
      <c r="H486" s="22"/>
    </row>
    <row r="487" spans="1:8" ht="12">
      <c r="A487" s="63"/>
      <c r="B487" s="80" t="s">
        <v>610</v>
      </c>
      <c r="C487" s="21" t="s">
        <v>942</v>
      </c>
      <c r="D487" s="255" t="s">
        <v>112</v>
      </c>
      <c r="E487" s="21" t="s">
        <v>943</v>
      </c>
      <c r="F487" s="162" t="str">
        <f>IF(wskakunin_sekkei12_DOC="","",wskakunin_sekkei12_DOC)</f>
        <v/>
      </c>
      <c r="H487" s="22"/>
    </row>
    <row r="488" spans="1:8" ht="12">
      <c r="A488" s="63"/>
      <c r="B488" s="88"/>
      <c r="G488" s="22"/>
      <c r="H488" s="22"/>
    </row>
    <row r="489" spans="1:8" s="23" customFormat="1" ht="12">
      <c r="A489" s="84" t="s">
        <v>944</v>
      </c>
      <c r="B489" s="104"/>
    </row>
    <row r="490" spans="1:8" s="23" customFormat="1" ht="12">
      <c r="A490" s="45" t="s">
        <v>945</v>
      </c>
      <c r="B490" s="105"/>
    </row>
    <row r="491" spans="1:8" s="23" customFormat="1" ht="12">
      <c r="A491" s="106"/>
      <c r="B491" s="77" t="s">
        <v>946</v>
      </c>
      <c r="C491" s="36" t="s">
        <v>947</v>
      </c>
      <c r="D491" s="264"/>
      <c r="E491" s="36" t="s">
        <v>948</v>
      </c>
      <c r="F491" s="266" t="str">
        <f>IF(wskakunin_20kouzou101_NAME="","",wskakunin_20kouzou101_NAME)</f>
        <v/>
      </c>
    </row>
    <row r="492" spans="1:8" s="23" customFormat="1" ht="12">
      <c r="A492" s="106"/>
      <c r="B492" s="77" t="s">
        <v>949</v>
      </c>
      <c r="C492" s="36" t="s">
        <v>950</v>
      </c>
      <c r="D492" s="264"/>
      <c r="E492" s="36" t="s">
        <v>951</v>
      </c>
      <c r="F492" s="267" t="str">
        <f>IF(wskakunin_20kouzou101_KOUZOUSEKKEI_KOUFU_NO="","",wskakunin_20kouzou101_KOUZOUSEKKEI_KOUFU_NO)</f>
        <v/>
      </c>
    </row>
    <row r="493" spans="1:8" s="23" customFormat="1" ht="12">
      <c r="A493" s="106"/>
      <c r="B493" s="77" t="s">
        <v>946</v>
      </c>
      <c r="C493" s="36" t="s">
        <v>952</v>
      </c>
      <c r="D493" s="264"/>
      <c r="E493" s="36" t="s">
        <v>953</v>
      </c>
      <c r="F493" s="267" t="str">
        <f>IF(wskakunin_20kouzou102_NAME="","",wskakunin_20kouzou102_NAME)</f>
        <v/>
      </c>
    </row>
    <row r="494" spans="1:8" s="23" customFormat="1" ht="12">
      <c r="A494" s="106"/>
      <c r="B494" s="77" t="s">
        <v>949</v>
      </c>
      <c r="C494" s="36" t="s">
        <v>954</v>
      </c>
      <c r="D494" s="264"/>
      <c r="E494" s="36" t="s">
        <v>955</v>
      </c>
      <c r="F494" s="267" t="str">
        <f>IF(wskakunin_20kouzou102_KOUZOUSEKKEI_KOUFU_NO="","",wskakunin_20kouzou102_KOUZOUSEKKEI_KOUFU_NO)</f>
        <v/>
      </c>
    </row>
    <row r="495" spans="1:8" s="23" customFormat="1" ht="12">
      <c r="A495" s="106"/>
      <c r="B495" s="77" t="s">
        <v>946</v>
      </c>
      <c r="C495" s="36" t="s">
        <v>956</v>
      </c>
      <c r="D495" s="264"/>
      <c r="E495" s="36" t="s">
        <v>957</v>
      </c>
      <c r="F495" s="267" t="str">
        <f>IF(wskakunin_20kouzou103_NAME="","",wskakunin_20kouzou103_NAME)</f>
        <v/>
      </c>
    </row>
    <row r="496" spans="1:8" s="23" customFormat="1" ht="12">
      <c r="A496" s="106"/>
      <c r="B496" s="77" t="s">
        <v>949</v>
      </c>
      <c r="C496" s="36" t="s">
        <v>958</v>
      </c>
      <c r="D496" s="264"/>
      <c r="E496" s="36" t="s">
        <v>959</v>
      </c>
      <c r="F496" s="267" t="str">
        <f>IF(wskakunin_20kouzou103_KOUZOUSEKKEI_KOUFU_NO="","",wskakunin_20kouzou103_KOUZOUSEKKEI_KOUFU_NO)</f>
        <v/>
      </c>
    </row>
    <row r="497" spans="1:6" s="23" customFormat="1" ht="12">
      <c r="A497" s="106"/>
      <c r="B497" s="77" t="s">
        <v>946</v>
      </c>
      <c r="C497" s="36" t="s">
        <v>960</v>
      </c>
      <c r="D497" s="264"/>
      <c r="E497" s="36" t="s">
        <v>961</v>
      </c>
      <c r="F497" s="267" t="str">
        <f>IF(wskakunin_20kouzou104_NAME="","",wskakunin_20kouzou104_NAME)</f>
        <v/>
      </c>
    </row>
    <row r="498" spans="1:6" s="23" customFormat="1" ht="12">
      <c r="A498" s="106"/>
      <c r="B498" s="77" t="s">
        <v>949</v>
      </c>
      <c r="C498" s="36" t="s">
        <v>962</v>
      </c>
      <c r="D498" s="264"/>
      <c r="E498" s="36" t="s">
        <v>963</v>
      </c>
      <c r="F498" s="267" t="str">
        <f>IF(wskakunin_20kouzou104_KOUZOUSEKKEI_KOUFU_NO="","",wskakunin_20kouzou104_KOUZOUSEKKEI_KOUFU_NO)</f>
        <v/>
      </c>
    </row>
    <row r="499" spans="1:6" s="23" customFormat="1" ht="12">
      <c r="A499" s="106"/>
      <c r="B499" s="77" t="s">
        <v>946</v>
      </c>
      <c r="C499" s="36" t="s">
        <v>964</v>
      </c>
      <c r="D499" s="265"/>
      <c r="E499" s="36" t="s">
        <v>965</v>
      </c>
      <c r="F499" s="267" t="str">
        <f>IF(wskakunin_20kouzou105_NAME="","",wskakunin_20kouzou105_NAME)</f>
        <v/>
      </c>
    </row>
    <row r="500" spans="1:6" s="23" customFormat="1" ht="12">
      <c r="A500" s="106"/>
      <c r="B500" s="77" t="s">
        <v>949</v>
      </c>
      <c r="C500" s="36" t="s">
        <v>966</v>
      </c>
      <c r="D500" s="264"/>
      <c r="E500" s="36" t="s">
        <v>967</v>
      </c>
      <c r="F500" s="267" t="str">
        <f>IF(wskakunin_20kouzou105_KOUZOUSEKKEI_KOUFU_NO="","",wskakunin_20kouzou105_KOUZOUSEKKEI_KOUFU_NO)</f>
        <v/>
      </c>
    </row>
    <row r="501" spans="1:6" ht="12">
      <c r="A501" s="53"/>
      <c r="B501" s="77"/>
    </row>
    <row r="502" spans="1:6" s="23" customFormat="1" ht="12">
      <c r="A502" s="45" t="s">
        <v>968</v>
      </c>
      <c r="B502" s="105"/>
      <c r="C502" s="225"/>
      <c r="D502" s="226"/>
      <c r="E502" s="225"/>
      <c r="F502" s="225"/>
    </row>
    <row r="503" spans="1:6" s="23" customFormat="1" ht="12">
      <c r="A503" s="106"/>
      <c r="B503" s="77" t="s">
        <v>946</v>
      </c>
      <c r="C503" s="36" t="s">
        <v>969</v>
      </c>
      <c r="D503" s="264"/>
      <c r="E503" s="36" t="s">
        <v>970</v>
      </c>
      <c r="F503" s="266" t="str">
        <f>IF(wskakunin_20kouzou301_NAME="","",wskakunin_20kouzou301_NAME)</f>
        <v/>
      </c>
    </row>
    <row r="504" spans="1:6" s="23" customFormat="1" ht="12">
      <c r="A504" s="106"/>
      <c r="B504" s="77" t="s">
        <v>949</v>
      </c>
      <c r="C504" s="225" t="s">
        <v>971</v>
      </c>
      <c r="D504" s="264"/>
      <c r="E504" s="225" t="s">
        <v>972</v>
      </c>
      <c r="F504" s="266" t="str">
        <f>IF(wskakunin_20kouzou301_KOUZOUSEKKEI_KOUFU_NO="","",wskakunin_20kouzou301_KOUZOUSEKKEI_KOUFU_NO)</f>
        <v/>
      </c>
    </row>
    <row r="505" spans="1:6" s="23" customFormat="1" ht="12">
      <c r="A505" s="106"/>
      <c r="B505" s="77" t="s">
        <v>946</v>
      </c>
      <c r="C505" s="225" t="s">
        <v>973</v>
      </c>
      <c r="D505" s="264"/>
      <c r="E505" s="225" t="s">
        <v>974</v>
      </c>
      <c r="F505" s="266" t="str">
        <f>IF(wskakunin_20kouzou302_NAME="","",wskakunin_20kouzou302_NAME)</f>
        <v/>
      </c>
    </row>
    <row r="506" spans="1:6" s="23" customFormat="1" ht="12">
      <c r="A506" s="106"/>
      <c r="B506" s="77" t="s">
        <v>949</v>
      </c>
      <c r="C506" s="225" t="s">
        <v>975</v>
      </c>
      <c r="D506" s="264"/>
      <c r="E506" s="225" t="s">
        <v>976</v>
      </c>
      <c r="F506" s="266" t="str">
        <f>IF(wskakunin_20kouzou302_KOUZOUSEKKEI_KOUFU_NO="","",wskakunin_20kouzou302_KOUZOUSEKKEI_KOUFU_NO)</f>
        <v/>
      </c>
    </row>
    <row r="507" spans="1:6" s="23" customFormat="1" ht="12">
      <c r="A507" s="106"/>
      <c r="B507" s="77" t="s">
        <v>946</v>
      </c>
      <c r="C507" s="225" t="s">
        <v>977</v>
      </c>
      <c r="D507" s="264"/>
      <c r="E507" s="225" t="s">
        <v>978</v>
      </c>
      <c r="F507" s="266" t="str">
        <f>IF(wskakunin_20kouzou303_NAME="","",wskakunin_20kouzou303_NAME)</f>
        <v/>
      </c>
    </row>
    <row r="508" spans="1:6" s="23" customFormat="1" ht="12">
      <c r="A508" s="106"/>
      <c r="B508" s="77" t="s">
        <v>949</v>
      </c>
      <c r="C508" s="225" t="s">
        <v>979</v>
      </c>
      <c r="D508" s="264"/>
      <c r="E508" s="225" t="s">
        <v>980</v>
      </c>
      <c r="F508" s="266" t="str">
        <f>IF(wskakunin_20kouzou303_KOUZOUSEKKEI_KOUFU_NO="","",wskakunin_20kouzou303_KOUZOUSEKKEI_KOUFU_NO)</f>
        <v/>
      </c>
    </row>
    <row r="509" spans="1:6" s="23" customFormat="1" ht="12">
      <c r="A509" s="106"/>
      <c r="B509" s="77" t="s">
        <v>946</v>
      </c>
      <c r="C509" s="225" t="s">
        <v>981</v>
      </c>
      <c r="D509" s="264"/>
      <c r="E509" s="225" t="s">
        <v>982</v>
      </c>
      <c r="F509" s="266" t="str">
        <f>IF(wskakunin_20kouzou304_NAME="","",wskakunin_20kouzou304_NAME)</f>
        <v/>
      </c>
    </row>
    <row r="510" spans="1:6" s="23" customFormat="1" ht="12">
      <c r="A510" s="106"/>
      <c r="B510" s="77" t="s">
        <v>949</v>
      </c>
      <c r="C510" s="225" t="s">
        <v>983</v>
      </c>
      <c r="D510" s="264"/>
      <c r="E510" s="225" t="s">
        <v>984</v>
      </c>
      <c r="F510" s="266" t="str">
        <f>IF(wskakunin_20kouzou304_KOUZOUSEKKEI_KOUFU_NO="","",wskakunin_20kouzou304_KOUZOUSEKKEI_KOUFU_NO)</f>
        <v/>
      </c>
    </row>
    <row r="511" spans="1:6" s="23" customFormat="1" ht="12">
      <c r="A511" s="106"/>
      <c r="B511" s="77" t="s">
        <v>946</v>
      </c>
      <c r="C511" s="225" t="s">
        <v>985</v>
      </c>
      <c r="D511" s="264"/>
      <c r="E511" s="225" t="s">
        <v>986</v>
      </c>
      <c r="F511" s="266" t="str">
        <f>IF(wskakunin_20kouzou305_NAME="","",wskakunin_20kouzou305_NAME)</f>
        <v/>
      </c>
    </row>
    <row r="512" spans="1:6" s="23" customFormat="1" ht="12">
      <c r="A512" s="106"/>
      <c r="B512" s="77" t="s">
        <v>949</v>
      </c>
      <c r="C512" s="225" t="s">
        <v>987</v>
      </c>
      <c r="D512" s="264"/>
      <c r="E512" s="225" t="s">
        <v>988</v>
      </c>
      <c r="F512" s="266" t="str">
        <f>IF(wskakunin_20kouzou305_KOUZOUSEKKEI_KOUFU_NO="","",wskakunin_20kouzou305_KOUZOUSEKKEI_KOUFU_NO)</f>
        <v/>
      </c>
    </row>
    <row r="513" spans="1:6" ht="12">
      <c r="A513" s="53"/>
      <c r="B513" s="77"/>
    </row>
    <row r="514" spans="1:6" s="23" customFormat="1" ht="12">
      <c r="A514" s="45" t="s">
        <v>989</v>
      </c>
      <c r="B514" s="105"/>
      <c r="C514" s="225"/>
      <c r="D514" s="226"/>
      <c r="E514" s="225"/>
      <c r="F514" s="225"/>
    </row>
    <row r="515" spans="1:6" s="23" customFormat="1" ht="12">
      <c r="A515" s="106"/>
      <c r="B515" s="77" t="s">
        <v>946</v>
      </c>
      <c r="C515" s="36" t="s">
        <v>990</v>
      </c>
      <c r="D515" s="264"/>
      <c r="E515" s="36" t="s">
        <v>991</v>
      </c>
      <c r="F515" s="267" t="str">
        <f>IF(wskakunin_20setubi101_NAME="","",wskakunin_20setubi101_NAME)</f>
        <v/>
      </c>
    </row>
    <row r="516" spans="1:6" s="23" customFormat="1" ht="12">
      <c r="A516" s="106"/>
      <c r="B516" s="77" t="s">
        <v>992</v>
      </c>
      <c r="C516" s="36" t="s">
        <v>993</v>
      </c>
      <c r="D516" s="264"/>
      <c r="E516" s="36" t="s">
        <v>994</v>
      </c>
      <c r="F516" s="267" t="str">
        <f>IF(wskakunin_20setubi101_SETUBISEKKEI_KOUFU_NO="","",wskakunin_20setubi101_SETUBISEKKEI_KOUFU_NO)</f>
        <v/>
      </c>
    </row>
    <row r="517" spans="1:6" s="23" customFormat="1" ht="12">
      <c r="A517" s="106"/>
      <c r="B517" s="77" t="s">
        <v>946</v>
      </c>
      <c r="C517" s="36" t="s">
        <v>995</v>
      </c>
      <c r="D517" s="264"/>
      <c r="E517" s="36" t="s">
        <v>996</v>
      </c>
      <c r="F517" s="267" t="str">
        <f>IF(wskakunin_20setubi102_NAME="","",wskakunin_20setubi102_NAME)</f>
        <v/>
      </c>
    </row>
    <row r="518" spans="1:6" s="23" customFormat="1" ht="12">
      <c r="A518" s="106"/>
      <c r="B518" s="77" t="s">
        <v>992</v>
      </c>
      <c r="C518" s="36" t="s">
        <v>997</v>
      </c>
      <c r="D518" s="264"/>
      <c r="E518" s="36" t="s">
        <v>998</v>
      </c>
      <c r="F518" s="267" t="str">
        <f>IF(wskakunin_20setubi102_SETUBISEKKEI_KOUFU_NO="","",wskakunin_20setubi102_SETUBISEKKEI_KOUFU_NO)</f>
        <v/>
      </c>
    </row>
    <row r="519" spans="1:6" s="23" customFormat="1" ht="12">
      <c r="A519" s="106"/>
      <c r="B519" s="77" t="s">
        <v>946</v>
      </c>
      <c r="C519" s="36" t="s">
        <v>999</v>
      </c>
      <c r="D519" s="264"/>
      <c r="E519" s="36" t="s">
        <v>1000</v>
      </c>
      <c r="F519" s="267" t="str">
        <f>IF(wskakunin_20setubi103_NAME="","",wskakunin_20setubi103_NAME)</f>
        <v/>
      </c>
    </row>
    <row r="520" spans="1:6" s="23" customFormat="1" ht="12">
      <c r="A520" s="106"/>
      <c r="B520" s="77" t="s">
        <v>992</v>
      </c>
      <c r="C520" s="36" t="s">
        <v>1001</v>
      </c>
      <c r="D520" s="264"/>
      <c r="E520" s="36" t="s">
        <v>1002</v>
      </c>
      <c r="F520" s="267" t="str">
        <f>IF(wskakunin_20setubi103_SETUBISEKKEI_KOUFU_NO="","",wskakunin_20setubi103_SETUBISEKKEI_KOUFU_NO)</f>
        <v/>
      </c>
    </row>
    <row r="521" spans="1:6" s="23" customFormat="1" ht="12">
      <c r="A521" s="106"/>
      <c r="B521" s="77" t="s">
        <v>946</v>
      </c>
      <c r="C521" s="36" t="s">
        <v>1003</v>
      </c>
      <c r="D521" s="264"/>
      <c r="E521" s="36" t="s">
        <v>1004</v>
      </c>
      <c r="F521" s="267" t="str">
        <f>IF(wskakunin_20setubi104_NAME="","",wskakunin_20setubi104_NAME)</f>
        <v/>
      </c>
    </row>
    <row r="522" spans="1:6" s="23" customFormat="1" ht="12">
      <c r="A522" s="106"/>
      <c r="B522" s="77" t="s">
        <v>992</v>
      </c>
      <c r="C522" s="36" t="s">
        <v>1005</v>
      </c>
      <c r="D522" s="264"/>
      <c r="E522" s="36" t="s">
        <v>1006</v>
      </c>
      <c r="F522" s="267" t="str">
        <f>IF(wskakunin_20setubi104_SETUBISEKKEI_KOUFU_NO="","",wskakunin_20setubi104_SETUBISEKKEI_KOUFU_NO)</f>
        <v/>
      </c>
    </row>
    <row r="523" spans="1:6" s="23" customFormat="1" ht="12">
      <c r="A523" s="106"/>
      <c r="B523" s="77" t="s">
        <v>946</v>
      </c>
      <c r="C523" s="36" t="s">
        <v>1007</v>
      </c>
      <c r="D523" s="264"/>
      <c r="E523" s="36" t="s">
        <v>1008</v>
      </c>
      <c r="F523" s="267" t="str">
        <f>IF(wskakunin_20setubi105_NAME="","",wskakunin_20setubi105_NAME)</f>
        <v/>
      </c>
    </row>
    <row r="524" spans="1:6" s="23" customFormat="1" ht="12">
      <c r="A524" s="106"/>
      <c r="B524" s="77" t="s">
        <v>992</v>
      </c>
      <c r="C524" s="36" t="s">
        <v>1009</v>
      </c>
      <c r="D524" s="264"/>
      <c r="E524" s="36" t="s">
        <v>1010</v>
      </c>
      <c r="F524" s="267" t="str">
        <f>IF(wskakunin_20setubi105_SETUBISEKKEI_KOUFU_NO="","",wskakunin_20setubi105_SETUBISEKKEI_KOUFU_NO)</f>
        <v/>
      </c>
    </row>
    <row r="525" spans="1:6" ht="12">
      <c r="A525" s="53"/>
      <c r="B525" s="77"/>
    </row>
    <row r="526" spans="1:6" s="23" customFormat="1" ht="12">
      <c r="A526" s="45" t="s">
        <v>1011</v>
      </c>
      <c r="B526" s="105"/>
      <c r="C526" s="225"/>
      <c r="D526" s="226"/>
      <c r="E526" s="225"/>
      <c r="F526" s="225"/>
    </row>
    <row r="527" spans="1:6" s="23" customFormat="1" ht="12">
      <c r="A527" s="106"/>
      <c r="B527" s="77" t="s">
        <v>946</v>
      </c>
      <c r="C527" s="36" t="s">
        <v>1012</v>
      </c>
      <c r="D527" s="264"/>
      <c r="E527" s="36" t="s">
        <v>1013</v>
      </c>
      <c r="F527" s="267" t="str">
        <f>IF(wskakunin_20setubi301_NAME="","",wskakunin_20setubi301_NAME)</f>
        <v/>
      </c>
    </row>
    <row r="528" spans="1:6" s="23" customFormat="1" ht="12">
      <c r="A528" s="106"/>
      <c r="B528" s="77" t="s">
        <v>992</v>
      </c>
      <c r="C528" s="36" t="s">
        <v>1014</v>
      </c>
      <c r="D528" s="264"/>
      <c r="E528" s="36" t="s">
        <v>1015</v>
      </c>
      <c r="F528" s="267" t="str">
        <f>IF(wskakunin_20setubi301_SETUBISEKKEI_KOUFU_NO="","",wskakunin_20setubi301_SETUBISEKKEI_KOUFU_NO)</f>
        <v/>
      </c>
    </row>
    <row r="529" spans="1:22" s="23" customFormat="1" ht="12">
      <c r="A529" s="106"/>
      <c r="B529" s="77" t="s">
        <v>946</v>
      </c>
      <c r="C529" s="36" t="s">
        <v>1016</v>
      </c>
      <c r="D529" s="264"/>
      <c r="E529" s="36" t="s">
        <v>1017</v>
      </c>
      <c r="F529" s="267" t="str">
        <f>IF(wskakunin_20setubi302_NAME="","",wskakunin_20setubi302_NAME)</f>
        <v/>
      </c>
    </row>
    <row r="530" spans="1:22" s="23" customFormat="1" ht="12">
      <c r="A530" s="106"/>
      <c r="B530" s="77" t="s">
        <v>992</v>
      </c>
      <c r="C530" s="36" t="s">
        <v>1018</v>
      </c>
      <c r="D530" s="264"/>
      <c r="E530" s="36" t="s">
        <v>1019</v>
      </c>
      <c r="F530" s="267" t="str">
        <f>IF(wskakunin_20setubi302_SETUBISEKKEI_KOUFU_NO="","",wskakunin_20setubi302_SETUBISEKKEI_KOUFU_NO)</f>
        <v/>
      </c>
    </row>
    <row r="531" spans="1:22" s="23" customFormat="1" ht="12">
      <c r="A531" s="106"/>
      <c r="B531" s="77" t="s">
        <v>946</v>
      </c>
      <c r="C531" s="36" t="s">
        <v>1020</v>
      </c>
      <c r="D531" s="264"/>
      <c r="E531" s="36" t="s">
        <v>1021</v>
      </c>
      <c r="F531" s="267" t="str">
        <f>IF(wskakunin_20setubi303_NAME="","",wskakunin_20setubi303_NAME)</f>
        <v/>
      </c>
    </row>
    <row r="532" spans="1:22" s="23" customFormat="1" ht="12">
      <c r="A532" s="106"/>
      <c r="B532" s="77" t="s">
        <v>992</v>
      </c>
      <c r="C532" s="36" t="s">
        <v>1022</v>
      </c>
      <c r="D532" s="264"/>
      <c r="E532" s="36" t="s">
        <v>1023</v>
      </c>
      <c r="F532" s="267" t="str">
        <f>IF(wskakunin_20setubi303_SETUBISEKKEI_KOUFU_NO="","",wskakunin_20setubi303_SETUBISEKKEI_KOUFU_NO)</f>
        <v/>
      </c>
    </row>
    <row r="533" spans="1:22" s="23" customFormat="1" ht="12">
      <c r="A533" s="106"/>
      <c r="B533" s="77" t="s">
        <v>946</v>
      </c>
      <c r="C533" s="36" t="s">
        <v>1024</v>
      </c>
      <c r="D533" s="264"/>
      <c r="E533" s="36" t="s">
        <v>1025</v>
      </c>
      <c r="F533" s="267" t="str">
        <f>IF(wskakunin_20setubi304_NAME="","",wskakunin_20setubi304_NAME)</f>
        <v/>
      </c>
    </row>
    <row r="534" spans="1:22" s="23" customFormat="1" ht="12">
      <c r="A534" s="106"/>
      <c r="B534" s="77" t="s">
        <v>992</v>
      </c>
      <c r="C534" s="36" t="s">
        <v>1026</v>
      </c>
      <c r="D534" s="264"/>
      <c r="E534" s="36" t="s">
        <v>1027</v>
      </c>
      <c r="F534" s="267" t="str">
        <f>IF(wskakunin_20setubi304_SETUBISEKKEI_KOUFU_NO="","",wskakunin_20setubi304_SETUBISEKKEI_KOUFU_NO)</f>
        <v/>
      </c>
    </row>
    <row r="535" spans="1:22" s="23" customFormat="1" ht="12">
      <c r="A535" s="106"/>
      <c r="B535" s="77" t="s">
        <v>946</v>
      </c>
      <c r="C535" s="36" t="s">
        <v>1028</v>
      </c>
      <c r="D535" s="264"/>
      <c r="E535" s="36" t="s">
        <v>1029</v>
      </c>
      <c r="F535" s="267" t="str">
        <f>IF(wskakunin_20setubi305_NAME="","",wskakunin_20setubi305_NAME)</f>
        <v/>
      </c>
    </row>
    <row r="536" spans="1:22" s="23" customFormat="1" ht="12">
      <c r="A536" s="106"/>
      <c r="B536" s="77" t="s">
        <v>992</v>
      </c>
      <c r="C536" s="36" t="s">
        <v>1030</v>
      </c>
      <c r="D536" s="264"/>
      <c r="E536" s="36" t="s">
        <v>1031</v>
      </c>
      <c r="F536" s="267" t="str">
        <f>IF(wskakunin_20setubi305_SETUBISEKKEI_KOUFU_NO="","",wskakunin_20setubi305_SETUBISEKKEI_KOUFU_NO)</f>
        <v/>
      </c>
    </row>
    <row r="537" spans="1:22" ht="12">
      <c r="A537" s="54"/>
      <c r="B537" s="78"/>
    </row>
    <row r="538" spans="1:22" s="22" customFormat="1" ht="12">
      <c r="A538" s="40" t="s">
        <v>1032</v>
      </c>
      <c r="B538" s="41"/>
      <c r="C538" s="37"/>
      <c r="D538" s="37"/>
      <c r="E538" s="37"/>
    </row>
    <row r="539" spans="1:22" s="22" customFormat="1" ht="12">
      <c r="A539" s="43" t="s">
        <v>1033</v>
      </c>
      <c r="B539" s="44"/>
      <c r="C539" s="37"/>
      <c r="D539" s="37"/>
      <c r="E539" s="37"/>
    </row>
    <row r="540" spans="1:22" s="38" customFormat="1" ht="12">
      <c r="A540" s="42"/>
      <c r="B540" s="81" t="s">
        <v>946</v>
      </c>
      <c r="C540" s="21" t="s">
        <v>1034</v>
      </c>
      <c r="D540" s="255" t="s">
        <v>112</v>
      </c>
      <c r="E540" s="21" t="s">
        <v>1035</v>
      </c>
      <c r="F540" s="47" t="str">
        <f>IF(wskakunin_iken1_NAME="","",wskakunin_iken1_NAME)</f>
        <v/>
      </c>
      <c r="G540" s="22"/>
    </row>
    <row r="541" spans="1:22" s="38" customFormat="1" ht="12">
      <c r="A541" s="42"/>
      <c r="B541" s="81" t="s">
        <v>1036</v>
      </c>
      <c r="C541" s="21" t="s">
        <v>1037</v>
      </c>
      <c r="D541" s="256" t="s">
        <v>112</v>
      </c>
      <c r="E541" s="21" t="s">
        <v>1038</v>
      </c>
      <c r="F541" s="47" t="str">
        <f>IF(wskakunin_iken1_JIMU_NAME="","",wskakunin_iken1_JIMU_NAME)</f>
        <v/>
      </c>
      <c r="G541" s="22"/>
    </row>
    <row r="542" spans="1:22" s="38" customFormat="1" ht="12">
      <c r="A542" s="42"/>
      <c r="B542" s="81" t="s">
        <v>1039</v>
      </c>
      <c r="C542" s="21" t="s">
        <v>1040</v>
      </c>
      <c r="D542" s="256" t="s">
        <v>112</v>
      </c>
      <c r="E542" s="21" t="s">
        <v>1041</v>
      </c>
      <c r="F542" s="47" t="str">
        <f>IF(wskakunin_iken1_ZIP="","",wskakunin_iken1_ZIP)</f>
        <v/>
      </c>
      <c r="G542" s="22"/>
      <c r="I542" s="39"/>
      <c r="J542" s="39"/>
      <c r="K542" s="39"/>
      <c r="L542" s="39"/>
      <c r="M542" s="39"/>
      <c r="N542" s="39"/>
      <c r="O542" s="39"/>
      <c r="P542" s="39"/>
      <c r="Q542" s="39"/>
      <c r="R542" s="39"/>
      <c r="S542" s="39"/>
      <c r="T542" s="39"/>
      <c r="U542" s="39"/>
      <c r="V542" s="39"/>
    </row>
    <row r="543" spans="1:22" s="38" customFormat="1" ht="12">
      <c r="A543" s="42"/>
      <c r="B543" s="81" t="s">
        <v>1042</v>
      </c>
      <c r="C543" s="21" t="s">
        <v>1043</v>
      </c>
      <c r="D543" s="256" t="s">
        <v>112</v>
      </c>
      <c r="E543" s="21" t="s">
        <v>1044</v>
      </c>
      <c r="F543" s="47" t="str">
        <f>IF(wskakunin_iken1__address="","",wskakunin_iken1__address)</f>
        <v/>
      </c>
      <c r="G543" s="22"/>
      <c r="I543" s="39"/>
      <c r="J543" s="39"/>
      <c r="K543" s="39"/>
      <c r="L543" s="39"/>
      <c r="M543" s="39"/>
      <c r="N543" s="39"/>
      <c r="O543" s="39"/>
      <c r="P543" s="39"/>
      <c r="Q543" s="39"/>
      <c r="R543" s="39"/>
      <c r="S543" s="39"/>
      <c r="T543" s="39"/>
      <c r="U543" s="39"/>
      <c r="V543" s="39"/>
    </row>
    <row r="544" spans="1:22" s="38" customFormat="1" ht="12">
      <c r="A544" s="42"/>
      <c r="B544" s="81" t="s">
        <v>1045</v>
      </c>
      <c r="C544" s="21" t="s">
        <v>1046</v>
      </c>
      <c r="D544" s="256" t="s">
        <v>112</v>
      </c>
      <c r="E544" s="21" t="s">
        <v>1047</v>
      </c>
      <c r="F544" s="47" t="str">
        <f>IF(wskakunin_iken1_TEL="","",wskakunin_iken1_TEL)</f>
        <v/>
      </c>
      <c r="G544" s="22"/>
      <c r="I544" s="39"/>
      <c r="J544" s="39"/>
      <c r="K544" s="39"/>
      <c r="L544" s="39"/>
      <c r="M544" s="39"/>
      <c r="N544" s="39"/>
      <c r="O544" s="39"/>
      <c r="P544" s="39"/>
      <c r="Q544" s="39"/>
      <c r="R544" s="39"/>
      <c r="S544" s="39"/>
      <c r="T544" s="39"/>
      <c r="U544" s="39"/>
      <c r="V544" s="39"/>
    </row>
    <row r="545" spans="1:22" s="38" customFormat="1" ht="12">
      <c r="A545" s="42"/>
      <c r="B545" s="81" t="s">
        <v>1048</v>
      </c>
      <c r="C545" s="21" t="s">
        <v>1049</v>
      </c>
      <c r="D545" s="256" t="s">
        <v>112</v>
      </c>
      <c r="E545" s="21" t="s">
        <v>1050</v>
      </c>
      <c r="F545" s="47" t="str">
        <f>IF(wskakunin_iken1_IKEN_NO="","",wskakunin_iken1_IKEN_NO)</f>
        <v/>
      </c>
      <c r="G545" s="22"/>
    </row>
    <row r="546" spans="1:22" s="22" customFormat="1" ht="12">
      <c r="A546" s="40"/>
      <c r="B546" s="82" t="s">
        <v>1051</v>
      </c>
      <c r="C546" s="37" t="s">
        <v>1052</v>
      </c>
      <c r="D546" s="255" t="s">
        <v>112</v>
      </c>
      <c r="E546" s="37" t="s">
        <v>1053</v>
      </c>
      <c r="F546" s="162" t="str">
        <f>IF(wskakunin_iken1_DOC="","",wskakunin_iken1_DOC)</f>
        <v/>
      </c>
    </row>
    <row r="547" spans="1:22" s="22" customFormat="1" ht="12">
      <c r="A547" s="40"/>
      <c r="B547" s="83"/>
      <c r="C547" s="37"/>
    </row>
    <row r="548" spans="1:22" s="22" customFormat="1" ht="12">
      <c r="A548" s="43" t="s">
        <v>1054</v>
      </c>
      <c r="B548" s="44"/>
      <c r="C548" s="37"/>
      <c r="D548" s="37"/>
    </row>
    <row r="549" spans="1:22" s="38" customFormat="1" ht="12">
      <c r="A549" s="42"/>
      <c r="B549" s="81" t="s">
        <v>946</v>
      </c>
      <c r="C549" s="21" t="s">
        <v>1055</v>
      </c>
      <c r="D549" s="268" t="s">
        <v>112</v>
      </c>
      <c r="E549" s="21" t="s">
        <v>1056</v>
      </c>
      <c r="F549" s="47" t="str">
        <f>IF(wskakunin_iken2_NAME="","",wskakunin_iken2_NAME)</f>
        <v/>
      </c>
      <c r="G549" s="22"/>
    </row>
    <row r="550" spans="1:22" s="38" customFormat="1" ht="12">
      <c r="A550" s="42"/>
      <c r="B550" s="81" t="s">
        <v>1036</v>
      </c>
      <c r="C550" s="21" t="s">
        <v>1057</v>
      </c>
      <c r="D550" s="268" t="s">
        <v>112</v>
      </c>
      <c r="E550" s="21" t="s">
        <v>1058</v>
      </c>
      <c r="F550" s="47" t="str">
        <f>IF(wskakunin_iken2_JIMU_NAME="","",wskakunin_iken2_JIMU_NAME)</f>
        <v/>
      </c>
      <c r="G550" s="22"/>
    </row>
    <row r="551" spans="1:22" s="38" customFormat="1" ht="12">
      <c r="A551" s="42"/>
      <c r="B551" s="81" t="s">
        <v>1039</v>
      </c>
      <c r="C551" s="21" t="s">
        <v>1059</v>
      </c>
      <c r="D551" s="268" t="s">
        <v>112</v>
      </c>
      <c r="E551" s="21" t="s">
        <v>1060</v>
      </c>
      <c r="F551" s="47" t="str">
        <f>IF(wskakunin_iken2_ZIP="","",wskakunin_iken2_ZIP)</f>
        <v/>
      </c>
      <c r="G551" s="22"/>
      <c r="I551" s="39"/>
      <c r="J551" s="39"/>
      <c r="K551" s="39"/>
      <c r="L551" s="39"/>
      <c r="M551" s="39"/>
      <c r="N551" s="39"/>
      <c r="O551" s="39"/>
      <c r="P551" s="39"/>
      <c r="Q551" s="39"/>
      <c r="R551" s="39"/>
      <c r="S551" s="39"/>
      <c r="T551" s="39"/>
      <c r="U551" s="39"/>
      <c r="V551" s="39"/>
    </row>
    <row r="552" spans="1:22" s="38" customFormat="1" ht="12">
      <c r="A552" s="42"/>
      <c r="B552" s="81" t="s">
        <v>1042</v>
      </c>
      <c r="C552" s="21" t="s">
        <v>1061</v>
      </c>
      <c r="D552" s="268" t="s">
        <v>112</v>
      </c>
      <c r="E552" s="21" t="s">
        <v>1062</v>
      </c>
      <c r="F552" s="47" t="str">
        <f>IF(wskakunin_iken2__address="","",wskakunin_iken2__address)</f>
        <v/>
      </c>
      <c r="G552" s="22"/>
      <c r="I552" s="39"/>
      <c r="J552" s="39"/>
      <c r="K552" s="39"/>
      <c r="L552" s="39"/>
      <c r="M552" s="39"/>
      <c r="N552" s="39"/>
      <c r="O552" s="39"/>
      <c r="P552" s="39"/>
      <c r="Q552" s="39"/>
      <c r="R552" s="39"/>
      <c r="S552" s="39"/>
      <c r="T552" s="39"/>
      <c r="U552" s="39"/>
      <c r="V552" s="39"/>
    </row>
    <row r="553" spans="1:22" s="38" customFormat="1" ht="12">
      <c r="A553" s="42"/>
      <c r="B553" s="81" t="s">
        <v>1045</v>
      </c>
      <c r="C553" s="21" t="s">
        <v>1063</v>
      </c>
      <c r="D553" s="268" t="s">
        <v>112</v>
      </c>
      <c r="E553" s="21" t="s">
        <v>1064</v>
      </c>
      <c r="F553" s="47" t="str">
        <f>IF(wskakunin_iken2_TEL="","",wskakunin_iken2_TEL)</f>
        <v/>
      </c>
      <c r="G553" s="22"/>
      <c r="I553" s="39"/>
      <c r="J553" s="39"/>
      <c r="K553" s="39"/>
      <c r="L553" s="39"/>
      <c r="M553" s="39"/>
      <c r="N553" s="39"/>
      <c r="O553" s="39"/>
      <c r="P553" s="39"/>
      <c r="Q553" s="39"/>
      <c r="R553" s="39"/>
      <c r="S553" s="39"/>
      <c r="T553" s="39"/>
      <c r="U553" s="39"/>
      <c r="V553" s="39"/>
    </row>
    <row r="554" spans="1:22" s="38" customFormat="1" ht="12">
      <c r="A554" s="42"/>
      <c r="B554" s="81" t="s">
        <v>1048</v>
      </c>
      <c r="C554" s="21" t="s">
        <v>1065</v>
      </c>
      <c r="D554" s="268" t="s">
        <v>112</v>
      </c>
      <c r="E554" s="21" t="s">
        <v>1066</v>
      </c>
      <c r="F554" s="47" t="str">
        <f>IF(wskakunin_iken2_IKEN_NO="","",wskakunin_iken2_IKEN_NO)</f>
        <v/>
      </c>
      <c r="G554" s="22"/>
    </row>
    <row r="555" spans="1:22" s="22" customFormat="1" ht="12">
      <c r="A555" s="40"/>
      <c r="B555" s="82" t="s">
        <v>1051</v>
      </c>
      <c r="C555" s="37" t="s">
        <v>1067</v>
      </c>
      <c r="D555" s="255" t="s">
        <v>112</v>
      </c>
      <c r="E555" s="37" t="s">
        <v>1068</v>
      </c>
      <c r="F555" s="162" t="str">
        <f>IF(wskakunin_iken2_DOC="","",wskakunin_iken2_DOC)</f>
        <v/>
      </c>
    </row>
    <row r="556" spans="1:22" s="22" customFormat="1" ht="12">
      <c r="A556" s="40"/>
      <c r="B556" s="83"/>
      <c r="C556" s="37"/>
      <c r="D556" s="37"/>
    </row>
    <row r="557" spans="1:22" s="22" customFormat="1" ht="12">
      <c r="A557" s="43" t="s">
        <v>1069</v>
      </c>
      <c r="B557" s="44"/>
      <c r="C557" s="37"/>
      <c r="D557" s="37"/>
    </row>
    <row r="558" spans="1:22" s="38" customFormat="1" ht="12">
      <c r="A558" s="42"/>
      <c r="B558" s="81" t="s">
        <v>946</v>
      </c>
      <c r="C558" s="21" t="s">
        <v>1070</v>
      </c>
      <c r="D558" s="256" t="s">
        <v>112</v>
      </c>
      <c r="E558" s="21" t="s">
        <v>1071</v>
      </c>
      <c r="F558" s="47" t="str">
        <f>IF(wskakunin_iken3_NAME="","",wskakunin_iken3_NAME)</f>
        <v/>
      </c>
      <c r="G558" s="22"/>
    </row>
    <row r="559" spans="1:22" s="38" customFormat="1" ht="12">
      <c r="A559" s="42"/>
      <c r="B559" s="81" t="s">
        <v>1036</v>
      </c>
      <c r="C559" s="21" t="s">
        <v>1072</v>
      </c>
      <c r="D559" s="256" t="s">
        <v>112</v>
      </c>
      <c r="E559" s="21" t="s">
        <v>1073</v>
      </c>
      <c r="F559" s="47" t="str">
        <f>IF(wskakunin_iken3_JIMU_NAME="","",wskakunin_iken3_JIMU_NAME)</f>
        <v/>
      </c>
      <c r="G559" s="22"/>
    </row>
    <row r="560" spans="1:22" s="38" customFormat="1" ht="12">
      <c r="A560" s="42"/>
      <c r="B560" s="81" t="s">
        <v>1039</v>
      </c>
      <c r="C560" s="21" t="s">
        <v>1074</v>
      </c>
      <c r="D560" s="256" t="s">
        <v>112</v>
      </c>
      <c r="E560" s="21" t="s">
        <v>1075</v>
      </c>
      <c r="F560" s="47" t="str">
        <f>IF(wskakunin_iken3_ZIP="","",wskakunin_iken3_ZIP)</f>
        <v/>
      </c>
      <c r="G560" s="22"/>
      <c r="I560" s="39"/>
      <c r="J560" s="39"/>
      <c r="K560" s="39"/>
      <c r="L560" s="39"/>
      <c r="M560" s="39"/>
      <c r="N560" s="39"/>
      <c r="O560" s="39"/>
      <c r="P560" s="39"/>
      <c r="Q560" s="39"/>
      <c r="R560" s="39"/>
      <c r="S560" s="39"/>
      <c r="T560" s="39"/>
      <c r="U560" s="39"/>
      <c r="V560" s="39"/>
    </row>
    <row r="561" spans="1:22" s="38" customFormat="1" ht="12">
      <c r="A561" s="42"/>
      <c r="B561" s="81" t="s">
        <v>1042</v>
      </c>
      <c r="C561" s="21" t="s">
        <v>1076</v>
      </c>
      <c r="D561" s="256" t="s">
        <v>112</v>
      </c>
      <c r="E561" s="21" t="s">
        <v>1077</v>
      </c>
      <c r="F561" s="47" t="str">
        <f>IF(wskakunin_iken3__address="","",wskakunin_iken3__address)</f>
        <v/>
      </c>
      <c r="G561" s="22"/>
      <c r="I561" s="39"/>
      <c r="J561" s="39"/>
      <c r="K561" s="39"/>
      <c r="L561" s="39"/>
      <c r="M561" s="39"/>
      <c r="N561" s="39"/>
      <c r="O561" s="39"/>
      <c r="P561" s="39"/>
      <c r="Q561" s="39"/>
      <c r="R561" s="39"/>
      <c r="S561" s="39"/>
      <c r="T561" s="39"/>
      <c r="U561" s="39"/>
      <c r="V561" s="39"/>
    </row>
    <row r="562" spans="1:22" s="38" customFormat="1" ht="12">
      <c r="A562" s="42"/>
      <c r="B562" s="81" t="s">
        <v>1045</v>
      </c>
      <c r="C562" s="21" t="s">
        <v>1078</v>
      </c>
      <c r="D562" s="256" t="s">
        <v>112</v>
      </c>
      <c r="E562" s="21" t="s">
        <v>1079</v>
      </c>
      <c r="F562" s="47" t="str">
        <f>IF(wskakunin_iken3_TEL="","",wskakunin_iken3_TEL)</f>
        <v/>
      </c>
      <c r="G562" s="22"/>
      <c r="I562" s="39"/>
      <c r="J562" s="39"/>
      <c r="K562" s="39"/>
      <c r="L562" s="39"/>
      <c r="M562" s="39"/>
      <c r="N562" s="39"/>
      <c r="O562" s="39"/>
      <c r="P562" s="39"/>
      <c r="Q562" s="39"/>
      <c r="R562" s="39"/>
      <c r="S562" s="39"/>
      <c r="T562" s="39"/>
      <c r="U562" s="39"/>
      <c r="V562" s="39"/>
    </row>
    <row r="563" spans="1:22" s="38" customFormat="1" ht="12">
      <c r="A563" s="42"/>
      <c r="B563" s="81" t="s">
        <v>1048</v>
      </c>
      <c r="C563" s="21" t="s">
        <v>1080</v>
      </c>
      <c r="D563" s="256" t="s">
        <v>112</v>
      </c>
      <c r="E563" s="21" t="s">
        <v>1081</v>
      </c>
      <c r="F563" s="47" t="str">
        <f>IF(wskakunin_iken3_IKEN_NO="","",wskakunin_iken3_IKEN_NO)</f>
        <v/>
      </c>
      <c r="G563" s="22"/>
    </row>
    <row r="564" spans="1:22" s="22" customFormat="1" ht="12">
      <c r="A564" s="40"/>
      <c r="B564" s="82" t="s">
        <v>1051</v>
      </c>
      <c r="C564" s="37" t="s">
        <v>1082</v>
      </c>
      <c r="D564" s="255" t="s">
        <v>112</v>
      </c>
      <c r="E564" s="37" t="s">
        <v>1083</v>
      </c>
      <c r="F564" s="162" t="str">
        <f>IF(wskakunin_iken3_DOC="","",wskakunin_iken3_DOC)</f>
        <v/>
      </c>
    </row>
    <row r="565" spans="1:22" s="22" customFormat="1" ht="12">
      <c r="A565" s="40"/>
      <c r="B565" s="83"/>
      <c r="C565" s="37"/>
      <c r="D565" s="37"/>
    </row>
    <row r="566" spans="1:22" s="22" customFormat="1" ht="12">
      <c r="A566" s="43" t="s">
        <v>1084</v>
      </c>
      <c r="B566" s="44"/>
      <c r="C566" s="37"/>
      <c r="D566" s="37"/>
    </row>
    <row r="567" spans="1:22" s="38" customFormat="1" ht="12">
      <c r="A567" s="42"/>
      <c r="B567" s="81" t="s">
        <v>946</v>
      </c>
      <c r="C567" s="21" t="s">
        <v>1085</v>
      </c>
      <c r="D567" s="256" t="s">
        <v>112</v>
      </c>
      <c r="E567" s="21" t="s">
        <v>1086</v>
      </c>
      <c r="F567" s="47" t="str">
        <f>IF(wskakunin_iken4_NAME="","",wskakunin_iken4_NAME)</f>
        <v/>
      </c>
      <c r="G567" s="22"/>
    </row>
    <row r="568" spans="1:22" s="38" customFormat="1" ht="12">
      <c r="A568" s="42"/>
      <c r="B568" s="81" t="s">
        <v>1036</v>
      </c>
      <c r="C568" s="21" t="s">
        <v>1087</v>
      </c>
      <c r="D568" s="256" t="s">
        <v>112</v>
      </c>
      <c r="E568" s="21" t="s">
        <v>1088</v>
      </c>
      <c r="F568" s="47" t="str">
        <f>IF(wskakunin_iken4_JIMU_NAME="","",wskakunin_iken4_JIMU_NAME)</f>
        <v/>
      </c>
      <c r="G568" s="22"/>
    </row>
    <row r="569" spans="1:22" s="38" customFormat="1" ht="12">
      <c r="A569" s="42"/>
      <c r="B569" s="81" t="s">
        <v>1039</v>
      </c>
      <c r="C569" s="21" t="s">
        <v>1089</v>
      </c>
      <c r="D569" s="256" t="s">
        <v>112</v>
      </c>
      <c r="E569" s="21" t="s">
        <v>1090</v>
      </c>
      <c r="F569" s="47" t="str">
        <f>IF(wskakunin_iken4_ZIP="","",wskakunin_iken4_ZIP)</f>
        <v/>
      </c>
      <c r="G569" s="22"/>
      <c r="I569" s="39"/>
      <c r="J569" s="39"/>
      <c r="K569" s="39"/>
      <c r="L569" s="39"/>
      <c r="M569" s="39"/>
      <c r="N569" s="39"/>
      <c r="O569" s="39"/>
      <c r="P569" s="39"/>
      <c r="Q569" s="39"/>
      <c r="R569" s="39"/>
      <c r="S569" s="39"/>
      <c r="T569" s="39"/>
      <c r="U569" s="39"/>
      <c r="V569" s="39"/>
    </row>
    <row r="570" spans="1:22" s="38" customFormat="1" ht="12">
      <c r="A570" s="42"/>
      <c r="B570" s="81" t="s">
        <v>1042</v>
      </c>
      <c r="C570" s="21" t="s">
        <v>1091</v>
      </c>
      <c r="D570" s="256" t="s">
        <v>112</v>
      </c>
      <c r="E570" s="21" t="s">
        <v>1092</v>
      </c>
      <c r="F570" s="47" t="str">
        <f>IF(wskakunin_iken4__address="","",wskakunin_iken4__address)</f>
        <v/>
      </c>
      <c r="G570" s="22"/>
      <c r="I570" s="39"/>
      <c r="J570" s="39"/>
      <c r="K570" s="39"/>
      <c r="L570" s="39"/>
      <c r="M570" s="39"/>
      <c r="N570" s="39"/>
      <c r="O570" s="39"/>
      <c r="P570" s="39"/>
      <c r="Q570" s="39"/>
      <c r="R570" s="39"/>
      <c r="S570" s="39"/>
      <c r="T570" s="39"/>
      <c r="U570" s="39"/>
      <c r="V570" s="39"/>
    </row>
    <row r="571" spans="1:22" s="38" customFormat="1" ht="12">
      <c r="A571" s="42"/>
      <c r="B571" s="81" t="s">
        <v>1045</v>
      </c>
      <c r="C571" s="21" t="s">
        <v>1093</v>
      </c>
      <c r="D571" s="256" t="s">
        <v>112</v>
      </c>
      <c r="E571" s="21" t="s">
        <v>1094</v>
      </c>
      <c r="F571" s="47" t="str">
        <f>IF(wskakunin_iken4_TEL="","",wskakunin_iken4_TEL)</f>
        <v/>
      </c>
      <c r="G571" s="22"/>
      <c r="I571" s="39"/>
      <c r="J571" s="39"/>
      <c r="K571" s="39"/>
      <c r="L571" s="39"/>
      <c r="M571" s="39"/>
      <c r="N571" s="39"/>
      <c r="O571" s="39"/>
      <c r="P571" s="39"/>
      <c r="Q571" s="39"/>
      <c r="R571" s="39"/>
      <c r="S571" s="39"/>
      <c r="T571" s="39"/>
      <c r="U571" s="39"/>
      <c r="V571" s="39"/>
    </row>
    <row r="572" spans="1:22" s="38" customFormat="1" ht="12">
      <c r="A572" s="42"/>
      <c r="B572" s="81" t="s">
        <v>1048</v>
      </c>
      <c r="C572" s="21" t="s">
        <v>1095</v>
      </c>
      <c r="D572" s="256" t="s">
        <v>112</v>
      </c>
      <c r="E572" s="21" t="s">
        <v>1096</v>
      </c>
      <c r="F572" s="47" t="str">
        <f>IF(wskakunin_iken4_IKEN_NO="","",wskakunin_iken4_IKEN_NO)</f>
        <v/>
      </c>
      <c r="G572" s="22"/>
    </row>
    <row r="573" spans="1:22" s="22" customFormat="1" ht="12">
      <c r="A573" s="40"/>
      <c r="B573" s="82" t="s">
        <v>1051</v>
      </c>
      <c r="C573" s="37" t="s">
        <v>1097</v>
      </c>
      <c r="D573" s="255" t="s">
        <v>112</v>
      </c>
      <c r="E573" s="37" t="s">
        <v>1098</v>
      </c>
      <c r="F573" s="162" t="str">
        <f>IF(wskakunin_iken4_DOC="","",wskakunin_iken4_DOC)</f>
        <v/>
      </c>
    </row>
    <row r="574" spans="1:22" s="22" customFormat="1" ht="12">
      <c r="A574" s="228" t="s">
        <v>1099</v>
      </c>
      <c r="B574" s="229"/>
      <c r="C574" s="36"/>
      <c r="D574" s="36"/>
      <c r="E574" s="36"/>
      <c r="F574" s="36"/>
    </row>
    <row r="575" spans="1:22" s="22" customFormat="1" ht="12">
      <c r="A575" s="42"/>
      <c r="B575" s="81" t="s">
        <v>946</v>
      </c>
      <c r="C575" s="21" t="s">
        <v>1100</v>
      </c>
      <c r="D575" s="256" t="s">
        <v>112</v>
      </c>
      <c r="E575" s="36" t="s">
        <v>1101</v>
      </c>
      <c r="F575" s="162" t="str">
        <f>IF(wskakunin_iken5_NAME="","",wskakunin_iken5_NAME)</f>
        <v/>
      </c>
    </row>
    <row r="576" spans="1:22" s="22" customFormat="1" ht="12">
      <c r="A576" s="42"/>
      <c r="B576" s="81" t="s">
        <v>1036</v>
      </c>
      <c r="C576" s="21" t="s">
        <v>1102</v>
      </c>
      <c r="D576" s="256" t="s">
        <v>112</v>
      </c>
      <c r="E576" s="36" t="s">
        <v>1103</v>
      </c>
      <c r="F576" s="162" t="str">
        <f>IF(wskakunin_iken5_JIMU_NAME="","",wskakunin_iken5_JIMU_NAME)</f>
        <v/>
      </c>
    </row>
    <row r="577" spans="1:8" s="22" customFormat="1" ht="12">
      <c r="A577" s="42"/>
      <c r="B577" s="81" t="s">
        <v>1039</v>
      </c>
      <c r="C577" s="21" t="s">
        <v>1104</v>
      </c>
      <c r="D577" s="256" t="s">
        <v>112</v>
      </c>
      <c r="E577" s="36" t="s">
        <v>1105</v>
      </c>
      <c r="F577" s="162" t="str">
        <f>IF(wskakunin_iken5_ZIP="","",wskakunin_iken5_ZIP)</f>
        <v/>
      </c>
    </row>
    <row r="578" spans="1:8" s="22" customFormat="1" ht="12">
      <c r="A578" s="42"/>
      <c r="B578" s="81" t="s">
        <v>1042</v>
      </c>
      <c r="C578" s="21" t="s">
        <v>1106</v>
      </c>
      <c r="D578" s="256" t="s">
        <v>112</v>
      </c>
      <c r="E578" s="36" t="s">
        <v>1107</v>
      </c>
      <c r="F578" s="162" t="str">
        <f>IF(wskakunin_iken5__address="","",wskakunin_iken5__address)</f>
        <v/>
      </c>
    </row>
    <row r="579" spans="1:8" s="22" customFormat="1" ht="12">
      <c r="A579" s="42"/>
      <c r="B579" s="81" t="s">
        <v>1045</v>
      </c>
      <c r="C579" s="21" t="s">
        <v>1108</v>
      </c>
      <c r="D579" s="256" t="s">
        <v>112</v>
      </c>
      <c r="E579" s="36" t="s">
        <v>1109</v>
      </c>
      <c r="F579" s="162" t="str">
        <f>IF(wskakunin_iken5_TEL="","",wskakunin_iken5_TEL)</f>
        <v/>
      </c>
    </row>
    <row r="580" spans="1:8" s="22" customFormat="1" ht="12">
      <c r="A580" s="42"/>
      <c r="B580" s="81" t="s">
        <v>1048</v>
      </c>
      <c r="C580" s="21" t="s">
        <v>1110</v>
      </c>
      <c r="D580" s="256" t="s">
        <v>112</v>
      </c>
      <c r="E580" s="36" t="s">
        <v>1111</v>
      </c>
      <c r="F580" s="162" t="str">
        <f>IF(wskakunin_iken5_IKEN_NO="","",wskakunin_iken5_IKEN_NO)</f>
        <v/>
      </c>
    </row>
    <row r="581" spans="1:8" s="22" customFormat="1" ht="12">
      <c r="A581" s="40"/>
      <c r="B581" s="82" t="s">
        <v>1051</v>
      </c>
      <c r="C581" s="37" t="s">
        <v>1112</v>
      </c>
      <c r="D581" s="256" t="s">
        <v>112</v>
      </c>
      <c r="E581" s="36" t="s">
        <v>1113</v>
      </c>
      <c r="F581" s="162" t="str">
        <f>IF(wskakunin_iken5_DOC="","",wskakunin_iken5_DOC)</f>
        <v/>
      </c>
    </row>
    <row r="582" spans="1:8" s="36" customFormat="1" ht="12">
      <c r="A582" s="230"/>
      <c r="B582" s="83"/>
      <c r="G582" s="22"/>
    </row>
    <row r="583" spans="1:8" ht="12">
      <c r="A583" s="8" t="s">
        <v>1114</v>
      </c>
      <c r="B583" s="47" t="s">
        <v>1115</v>
      </c>
      <c r="G583" s="22"/>
      <c r="H583" s="22"/>
    </row>
    <row r="584" spans="1:8" ht="12">
      <c r="A584" s="30"/>
      <c r="B584" s="74" t="s">
        <v>392</v>
      </c>
      <c r="C584" s="21" t="s">
        <v>1116</v>
      </c>
      <c r="D584" s="162" t="s">
        <v>394</v>
      </c>
      <c r="E584" s="21" t="s">
        <v>1117</v>
      </c>
      <c r="F584" s="162" t="str">
        <f>IF(wskakunin_kanri1__sikaku="", "", wskakunin_kanri1__sikaku)</f>
        <v>一級建築士大臣登録第001100号</v>
      </c>
      <c r="G584" s="22"/>
      <c r="H584" s="22"/>
    </row>
    <row r="585" spans="1:8" ht="12">
      <c r="A585" s="30"/>
      <c r="B585" s="74" t="s">
        <v>396</v>
      </c>
      <c r="C585" s="21" t="s">
        <v>1118</v>
      </c>
      <c r="D585" s="162" t="s">
        <v>398</v>
      </c>
      <c r="E585" s="21" t="s">
        <v>1119</v>
      </c>
      <c r="F585" s="162" t="str">
        <f>IF(wskakunin_kanri1_SIKAKU__label="", "", wskakunin_kanri1_SIKAKU__label)</f>
        <v>一級</v>
      </c>
      <c r="G585" s="22"/>
      <c r="H585" s="22"/>
    </row>
    <row r="586" spans="1:8" ht="12">
      <c r="A586" s="35"/>
      <c r="B586" s="80" t="s">
        <v>400</v>
      </c>
      <c r="C586" s="21" t="s">
        <v>1120</v>
      </c>
      <c r="D586" s="162" t="s">
        <v>402</v>
      </c>
      <c r="E586" s="21" t="s">
        <v>1121</v>
      </c>
      <c r="F586" s="162" t="str">
        <f>IF(wskakunin_kanri1_TOUROKU_KIKAN__label="","",wskakunin_kanri1_TOUROKU_KIKAN__label)</f>
        <v>大臣</v>
      </c>
      <c r="G586" s="22"/>
      <c r="H586" s="22"/>
    </row>
    <row r="587" spans="1:8" ht="12">
      <c r="A587" s="35"/>
      <c r="B587" s="80" t="s">
        <v>404</v>
      </c>
      <c r="C587" s="21" t="s">
        <v>1122</v>
      </c>
      <c r="D587" s="255" t="s">
        <v>406</v>
      </c>
      <c r="E587" s="21" t="s">
        <v>1123</v>
      </c>
      <c r="F587" s="162" t="str">
        <f>IF(wskakunin_kanri1_KENTIKUSI_NO="","",wskakunin_kanri1_KENTIKUSI_NO)</f>
        <v>001100</v>
      </c>
      <c r="G587" s="22"/>
      <c r="H587" s="22"/>
    </row>
    <row r="588" spans="1:8" ht="12">
      <c r="A588" s="63"/>
      <c r="B588" s="74" t="s">
        <v>194</v>
      </c>
      <c r="C588" s="21" t="s">
        <v>1124</v>
      </c>
      <c r="D588" s="162" t="s">
        <v>411</v>
      </c>
      <c r="E588" s="21" t="s">
        <v>1125</v>
      </c>
      <c r="F588" s="162" t="str">
        <f>IF(wskakunin_kanri1_NAME="", "", wskakunin_kanri1_NAME)</f>
        <v>現場　猫</v>
      </c>
      <c r="G588" s="22"/>
      <c r="H588" s="22"/>
    </row>
    <row r="589" spans="1:8" ht="12">
      <c r="A589" s="63"/>
      <c r="B589" s="74" t="s">
        <v>416</v>
      </c>
      <c r="C589" s="21" t="s">
        <v>1126</v>
      </c>
      <c r="D589" s="162" t="s">
        <v>418</v>
      </c>
      <c r="E589" s="21" t="s">
        <v>1127</v>
      </c>
      <c r="F589" s="162" t="str">
        <f>IF(wskakunin_kanri1_JIMU__sikaku="", "", wskakunin_kanri1_JIMU__sikaku)</f>
        <v>一級建築士事務所京都府知事登録第03A00000号</v>
      </c>
      <c r="G589" s="22"/>
      <c r="H589" s="22"/>
    </row>
    <row r="590" spans="1:8" ht="12">
      <c r="A590" s="47"/>
      <c r="B590" s="80" t="s">
        <v>420</v>
      </c>
      <c r="C590" s="21" t="s">
        <v>1128</v>
      </c>
      <c r="D590" s="162" t="s">
        <v>398</v>
      </c>
      <c r="E590" s="21" t="s">
        <v>1129</v>
      </c>
      <c r="F590" s="162" t="str">
        <f>IF(wskakunin_kanri1_JIMU_SIKAKU__label="","",wskakunin_kanri1_JIMU_SIKAKU__label)</f>
        <v>一級</v>
      </c>
      <c r="G590" s="22"/>
      <c r="H590" s="22"/>
    </row>
    <row r="591" spans="1:8" ht="12">
      <c r="A591" s="47"/>
      <c r="B591" s="80" t="s">
        <v>423</v>
      </c>
      <c r="C591" s="21" t="s">
        <v>1130</v>
      </c>
      <c r="D591" s="162" t="s">
        <v>425</v>
      </c>
      <c r="E591" s="21" t="s">
        <v>1131</v>
      </c>
      <c r="F591" s="162" t="str">
        <f>IF(wskakunin_kanri1_JIMU_TOUROKU_KIKAN__label="","",wskakunin_kanri1_JIMU_TOUROKU_KIKAN__label)</f>
        <v>京都府</v>
      </c>
      <c r="G591" s="22"/>
      <c r="H591" s="22"/>
    </row>
    <row r="592" spans="1:8" ht="12">
      <c r="A592" s="47"/>
      <c r="B592" s="80" t="s">
        <v>427</v>
      </c>
      <c r="C592" s="21" t="s">
        <v>1132</v>
      </c>
      <c r="D592" s="162" t="s">
        <v>429</v>
      </c>
      <c r="E592" s="21" t="s">
        <v>1133</v>
      </c>
      <c r="F592" s="162" t="str">
        <f>IF(wskakunin_kanri1_JIMU_NO="","",wskakunin_kanri1_JIMU_NO)</f>
        <v>03A00000</v>
      </c>
      <c r="G592" s="22"/>
      <c r="H592" s="22"/>
    </row>
    <row r="593" spans="1:8" ht="12">
      <c r="A593" s="63"/>
      <c r="B593" s="74" t="s">
        <v>431</v>
      </c>
      <c r="C593" s="21" t="s">
        <v>1134</v>
      </c>
      <c r="D593" s="162" t="s">
        <v>433</v>
      </c>
      <c r="E593" s="21" t="s">
        <v>1135</v>
      </c>
      <c r="F593" s="162" t="str">
        <f>IF(wskakunin_kanri1_JIMU_NAME="", "", wskakunin_kanri1_JIMU_NAME)</f>
        <v>猫建築事務所</v>
      </c>
      <c r="G593" s="22"/>
      <c r="H593" s="22"/>
    </row>
    <row r="594" spans="1:8" ht="12">
      <c r="A594" s="63"/>
      <c r="B594" s="74" t="s">
        <v>205</v>
      </c>
      <c r="C594" s="21" t="s">
        <v>1136</v>
      </c>
      <c r="D594" s="255" t="s">
        <v>436</v>
      </c>
      <c r="E594" s="21" t="s">
        <v>1137</v>
      </c>
      <c r="F594" s="162" t="str">
        <f>IF(wskakunin_kanri1_ZIP="", "", wskakunin_kanri1_ZIP)</f>
        <v>604-0001</v>
      </c>
      <c r="G594" s="22"/>
      <c r="H594" s="22"/>
    </row>
    <row r="595" spans="1:8" ht="12">
      <c r="A595" s="63"/>
      <c r="B595" s="74"/>
      <c r="E595" s="21" t="s">
        <v>1138</v>
      </c>
      <c r="F595" s="162" t="str">
        <f>IF(wskakunin_kanri1_ZIP="","",LEFT(wskakunin_kanri1_ZIP,3)&amp;RIGHT(wskakunin_kanri1_ZIP,4))</f>
        <v>6040001</v>
      </c>
      <c r="G595" s="22"/>
      <c r="H595" s="22"/>
    </row>
    <row r="596" spans="1:8" ht="12">
      <c r="A596" s="63"/>
      <c r="B596" s="74" t="s">
        <v>438</v>
      </c>
      <c r="C596" s="21" t="s">
        <v>1139</v>
      </c>
      <c r="D596" s="162" t="s">
        <v>440</v>
      </c>
      <c r="E596" s="21" t="s">
        <v>1140</v>
      </c>
      <c r="F596" s="162" t="str">
        <f>IF(wskakunin_kanri1__address="", "", wskakunin_kanri1__address)</f>
        <v>京都府京都市中京区道場町1</v>
      </c>
      <c r="G596" s="22"/>
      <c r="H596" s="22"/>
    </row>
    <row r="597" spans="1:8" ht="12">
      <c r="A597" s="63"/>
      <c r="B597" s="74" t="s">
        <v>214</v>
      </c>
      <c r="C597" s="21" t="s">
        <v>1141</v>
      </c>
      <c r="D597" s="255" t="s">
        <v>443</v>
      </c>
      <c r="E597" s="21" t="s">
        <v>1142</v>
      </c>
      <c r="F597" s="162" t="str">
        <f>IF(wskakunin_kanri1_TEL="", "", wskakunin_kanri1_TEL)</f>
        <v>075-000-0000</v>
      </c>
      <c r="G597" s="22"/>
      <c r="H597" s="22"/>
    </row>
    <row r="598" spans="1:8" ht="12">
      <c r="A598" s="242"/>
      <c r="B598" s="300"/>
      <c r="E598" s="21" t="s">
        <v>1143</v>
      </c>
      <c r="F598" s="162" t="str">
        <f>IF(wskakunin_kanri1_TEL="","（　　　　）　　　-","（"&amp;LEFT(cst_wskakunin_kanri1_TEL,FIND("-",cst_wskakunin_kanri1_TEL)-1)&amp;"）　"&amp;MID(cst_wskakunin_kanri1_TEL,FIND("-",cst_wskakunin_kanri1_TEL)+1,FIND("-",cst_wskakunin_kanri1_TEL,FIND("-",cst_wskakunin_kanri1_TEL)+1)-FIND("-",cst_wskakunin_kanri1_TEL)-1)&amp;"-"&amp;RIGHT(cst_wskakunin_kanri1_TEL,LEN(cst_wskakunin_kanri1_TEL)-FIND("-",cst_wskakunin_kanri1_TEL,FIND("-",cst_wskakunin_kanri1_TEL)+1)))</f>
        <v>（075）　000-0000</v>
      </c>
      <c r="G598" s="22"/>
      <c r="H598" s="22"/>
    </row>
    <row r="599" spans="1:8" ht="12">
      <c r="A599" s="63"/>
      <c r="B599" s="74" t="s">
        <v>610</v>
      </c>
      <c r="C599" s="21" t="s">
        <v>1144</v>
      </c>
      <c r="D599" s="255" t="s">
        <v>612</v>
      </c>
      <c r="E599" s="21" t="s">
        <v>1145</v>
      </c>
      <c r="F599" s="162" t="str">
        <f>IF(wskakunin_kanri1_DOC="","",wskakunin_kanri1_DOC)</f>
        <v>全ての設計図書</v>
      </c>
      <c r="G599" s="22"/>
      <c r="H599" s="22"/>
    </row>
    <row r="600" spans="1:8" ht="12">
      <c r="A600" s="47"/>
      <c r="B600" s="77"/>
      <c r="G600" s="22"/>
      <c r="H600" s="22"/>
    </row>
    <row r="601" spans="1:8" ht="12">
      <c r="A601" s="48" t="s">
        <v>1146</v>
      </c>
      <c r="B601" s="47" t="s">
        <v>1147</v>
      </c>
      <c r="G601" s="22"/>
      <c r="H601" s="22"/>
    </row>
    <row r="602" spans="1:8" ht="12">
      <c r="A602" s="30"/>
      <c r="B602" s="74" t="s">
        <v>392</v>
      </c>
      <c r="C602" s="21" t="s">
        <v>1148</v>
      </c>
      <c r="D602" s="162" t="s">
        <v>112</v>
      </c>
      <c r="E602" s="21" t="s">
        <v>1149</v>
      </c>
      <c r="F602" s="162" t="str">
        <f>IF(wskakunin_kanri2__sikaku="", "", wskakunin_kanri2__sikaku)</f>
        <v/>
      </c>
      <c r="G602" s="22"/>
      <c r="H602" s="22"/>
    </row>
    <row r="603" spans="1:8" ht="12">
      <c r="A603" s="30"/>
      <c r="B603" s="74" t="s">
        <v>396</v>
      </c>
      <c r="C603" s="21" t="s">
        <v>1150</v>
      </c>
      <c r="D603" s="162" t="s">
        <v>112</v>
      </c>
      <c r="E603" s="21" t="s">
        <v>1151</v>
      </c>
      <c r="F603" s="162" t="str">
        <f>IF(wskakunin_kanri2_SIKAKU__label="", "", wskakunin_kanri2_SIKAKU__label)</f>
        <v/>
      </c>
      <c r="G603" s="22"/>
      <c r="H603" s="22"/>
    </row>
    <row r="604" spans="1:8" ht="12">
      <c r="A604" s="35"/>
      <c r="B604" s="80" t="s">
        <v>400</v>
      </c>
      <c r="C604" s="21" t="s">
        <v>1152</v>
      </c>
      <c r="D604" s="162" t="s">
        <v>112</v>
      </c>
      <c r="E604" s="21" t="s">
        <v>1153</v>
      </c>
      <c r="F604" s="162" t="str">
        <f>IF(wskakunin_kanri2_TOUROKU_KIKAN__label="","",wskakunin_kanri2_TOUROKU_KIKAN__label)</f>
        <v/>
      </c>
      <c r="G604" s="22"/>
      <c r="H604" s="22"/>
    </row>
    <row r="605" spans="1:8" ht="12">
      <c r="A605" s="35"/>
      <c r="B605" s="80" t="s">
        <v>404</v>
      </c>
      <c r="C605" s="21" t="s">
        <v>1154</v>
      </c>
      <c r="D605" s="255" t="s">
        <v>112</v>
      </c>
      <c r="E605" s="21" t="s">
        <v>1155</v>
      </c>
      <c r="F605" s="162" t="str">
        <f>IF(wskakunin_kanri2_KENTIKUSI_NO="","",wskakunin_kanri2_KENTIKUSI_NO)</f>
        <v/>
      </c>
      <c r="G605" s="22"/>
      <c r="H605" s="22"/>
    </row>
    <row r="606" spans="1:8" ht="12">
      <c r="A606" s="63"/>
      <c r="B606" s="74" t="s">
        <v>194</v>
      </c>
      <c r="C606" s="21" t="s">
        <v>1156</v>
      </c>
      <c r="D606" s="162" t="s">
        <v>112</v>
      </c>
      <c r="E606" s="21" t="s">
        <v>1157</v>
      </c>
      <c r="F606" s="162" t="str">
        <f>IF(wskakunin_kanri2_NAME="", "", wskakunin_kanri2_NAME)</f>
        <v/>
      </c>
      <c r="G606" s="22"/>
      <c r="H606" s="22"/>
    </row>
    <row r="607" spans="1:8" ht="12">
      <c r="A607" s="63"/>
      <c r="B607" s="74" t="s">
        <v>416</v>
      </c>
      <c r="C607" s="21" t="s">
        <v>1158</v>
      </c>
      <c r="D607" s="162" t="s">
        <v>112</v>
      </c>
      <c r="E607" s="21" t="s">
        <v>1159</v>
      </c>
      <c r="F607" s="162" t="str">
        <f>IF(wskakunin_kanri2_JIMU__sikaku="", "", wskakunin_kanri2_JIMU__sikaku)</f>
        <v/>
      </c>
      <c r="G607" s="22"/>
      <c r="H607" s="22"/>
    </row>
    <row r="608" spans="1:8" ht="12">
      <c r="A608" s="47"/>
      <c r="B608" s="80" t="s">
        <v>420</v>
      </c>
      <c r="C608" s="21" t="s">
        <v>1160</v>
      </c>
      <c r="D608" s="162" t="s">
        <v>112</v>
      </c>
      <c r="E608" s="21" t="s">
        <v>1161</v>
      </c>
      <c r="F608" s="162" t="str">
        <f>IF(wskakunin_kanri2_JIMU_SIKAKU__label="","",wskakunin_kanri2_JIMU_SIKAKU__label)</f>
        <v/>
      </c>
      <c r="G608" s="22"/>
      <c r="H608" s="22"/>
    </row>
    <row r="609" spans="1:8" ht="12">
      <c r="A609" s="47"/>
      <c r="B609" s="80" t="s">
        <v>423</v>
      </c>
      <c r="C609" s="21" t="s">
        <v>1162</v>
      </c>
      <c r="D609" s="162" t="s">
        <v>112</v>
      </c>
      <c r="E609" s="21" t="s">
        <v>1163</v>
      </c>
      <c r="F609" s="162" t="str">
        <f>IF(wskakunin_kanri2_JIMU_TOUROKU_KIKAN__label="","",wskakunin_kanri2_JIMU_TOUROKU_KIKAN__label)</f>
        <v/>
      </c>
      <c r="G609" s="22"/>
      <c r="H609" s="22"/>
    </row>
    <row r="610" spans="1:8" ht="12">
      <c r="A610" s="47"/>
      <c r="B610" s="80" t="s">
        <v>427</v>
      </c>
      <c r="C610" s="21" t="s">
        <v>1164</v>
      </c>
      <c r="D610" s="255" t="s">
        <v>112</v>
      </c>
      <c r="E610" s="21" t="s">
        <v>1165</v>
      </c>
      <c r="F610" s="162" t="str">
        <f>IF(wskakunin_kanri2_JIMU_NO="","",wskakunin_kanri2_JIMU_NO)</f>
        <v/>
      </c>
      <c r="G610" s="22"/>
      <c r="H610" s="22"/>
    </row>
    <row r="611" spans="1:8" ht="12">
      <c r="A611" s="63"/>
      <c r="B611" s="74" t="s">
        <v>431</v>
      </c>
      <c r="C611" s="21" t="s">
        <v>1166</v>
      </c>
      <c r="D611" s="162" t="s">
        <v>112</v>
      </c>
      <c r="E611" s="21" t="s">
        <v>1167</v>
      </c>
      <c r="F611" s="162" t="str">
        <f>IF(wskakunin_kanri2_JIMU_NAME="", "", wskakunin_kanri2_JIMU_NAME)</f>
        <v/>
      </c>
      <c r="G611" s="22"/>
      <c r="H611" s="22"/>
    </row>
    <row r="612" spans="1:8" ht="12">
      <c r="A612" s="63"/>
      <c r="B612" s="74" t="s">
        <v>205</v>
      </c>
      <c r="C612" s="21" t="s">
        <v>1168</v>
      </c>
      <c r="D612" s="255" t="s">
        <v>112</v>
      </c>
      <c r="E612" s="21" t="s">
        <v>1169</v>
      </c>
      <c r="F612" s="162" t="str">
        <f>IF(wskakunin_kanri2_ZIP="", "", wskakunin_kanri2_ZIP)</f>
        <v/>
      </c>
      <c r="G612" s="22"/>
      <c r="H612" s="22"/>
    </row>
    <row r="613" spans="1:8" ht="12">
      <c r="A613" s="63"/>
      <c r="B613" s="74" t="s">
        <v>438</v>
      </c>
      <c r="C613" s="21" t="s">
        <v>1170</v>
      </c>
      <c r="D613" s="162" t="s">
        <v>112</v>
      </c>
      <c r="E613" s="21" t="s">
        <v>1171</v>
      </c>
      <c r="F613" s="162" t="str">
        <f>IF(wskakunin_kanri2__address="", "", wskakunin_kanri2__address)</f>
        <v/>
      </c>
      <c r="G613" s="22"/>
      <c r="H613" s="22"/>
    </row>
    <row r="614" spans="1:8" ht="12">
      <c r="A614" s="63"/>
      <c r="B614" s="74" t="s">
        <v>214</v>
      </c>
      <c r="C614" s="21" t="s">
        <v>1172</v>
      </c>
      <c r="D614" s="255" t="s">
        <v>112</v>
      </c>
      <c r="E614" s="21" t="s">
        <v>1173</v>
      </c>
      <c r="F614" s="162" t="str">
        <f>IF(wskakunin_kanri2_TEL="", "", wskakunin_kanri2_TEL)</f>
        <v/>
      </c>
      <c r="G614" s="22"/>
      <c r="H614" s="22"/>
    </row>
    <row r="615" spans="1:8" ht="12">
      <c r="A615" s="63"/>
      <c r="B615" s="74" t="s">
        <v>610</v>
      </c>
      <c r="C615" s="21" t="s">
        <v>1174</v>
      </c>
      <c r="D615" s="255" t="s">
        <v>112</v>
      </c>
      <c r="E615" s="21" t="s">
        <v>1175</v>
      </c>
      <c r="F615" s="162" t="str">
        <f>IF(wskakunin_kanri2_DOC="","",wskakunin_kanri2_DOC)</f>
        <v/>
      </c>
      <c r="G615" s="22"/>
      <c r="H615" s="22"/>
    </row>
    <row r="616" spans="1:8" ht="12">
      <c r="A616" s="107"/>
      <c r="B616" s="77"/>
      <c r="G616" s="22"/>
      <c r="H616" s="22"/>
    </row>
    <row r="617" spans="1:8" ht="12">
      <c r="A617" s="48" t="s">
        <v>1176</v>
      </c>
      <c r="B617" s="47" t="s">
        <v>1147</v>
      </c>
      <c r="G617" s="22"/>
      <c r="H617" s="22"/>
    </row>
    <row r="618" spans="1:8" ht="12">
      <c r="A618" s="30"/>
      <c r="B618" s="74" t="s">
        <v>392</v>
      </c>
      <c r="C618" s="21" t="s">
        <v>1177</v>
      </c>
      <c r="D618" s="162" t="s">
        <v>112</v>
      </c>
      <c r="E618" s="21" t="s">
        <v>1178</v>
      </c>
      <c r="F618" s="162" t="str">
        <f>IF(wskakunin_kanri3__sikaku="", "", wskakunin_kanri3__sikaku)</f>
        <v/>
      </c>
      <c r="G618" s="22"/>
      <c r="H618" s="22"/>
    </row>
    <row r="619" spans="1:8" ht="12">
      <c r="A619" s="30"/>
      <c r="B619" s="74" t="s">
        <v>396</v>
      </c>
      <c r="C619" s="21" t="s">
        <v>1179</v>
      </c>
      <c r="D619" s="162" t="s">
        <v>112</v>
      </c>
      <c r="E619" s="21" t="s">
        <v>1180</v>
      </c>
      <c r="F619" s="162" t="str">
        <f>IF(wskakunin_kanri3_SIKAKU__label="", "", wskakunin_kanri3_SIKAKU__label)</f>
        <v/>
      </c>
      <c r="G619" s="22"/>
      <c r="H619" s="22"/>
    </row>
    <row r="620" spans="1:8" ht="12">
      <c r="A620" s="35"/>
      <c r="B620" s="80" t="s">
        <v>400</v>
      </c>
      <c r="C620" s="21" t="s">
        <v>1181</v>
      </c>
      <c r="D620" s="162" t="s">
        <v>112</v>
      </c>
      <c r="E620" s="21" t="s">
        <v>1182</v>
      </c>
      <c r="F620" s="162" t="str">
        <f>IF(wskakunin_kanri3_TOUROKU_KIKAN__label="","",wskakunin_kanri3_TOUROKU_KIKAN__label)</f>
        <v/>
      </c>
      <c r="G620" s="22"/>
      <c r="H620" s="22"/>
    </row>
    <row r="621" spans="1:8" ht="12">
      <c r="A621" s="35"/>
      <c r="B621" s="80" t="s">
        <v>404</v>
      </c>
      <c r="C621" s="21" t="s">
        <v>1183</v>
      </c>
      <c r="D621" s="255" t="s">
        <v>112</v>
      </c>
      <c r="E621" s="21" t="s">
        <v>1184</v>
      </c>
      <c r="F621" s="162" t="str">
        <f>IF(wskakunin_kanri3_KENTIKUSI_NO="","",wskakunin_kanri3_KENTIKUSI_NO)</f>
        <v/>
      </c>
      <c r="G621" s="22"/>
      <c r="H621" s="22"/>
    </row>
    <row r="622" spans="1:8" ht="12">
      <c r="A622" s="63"/>
      <c r="B622" s="74" t="s">
        <v>194</v>
      </c>
      <c r="C622" s="21" t="s">
        <v>1185</v>
      </c>
      <c r="D622" s="162" t="s">
        <v>112</v>
      </c>
      <c r="E622" s="21" t="s">
        <v>1186</v>
      </c>
      <c r="F622" s="162" t="str">
        <f>IF(wskakunin_kanri3_NAME="", "", wskakunin_kanri3_NAME)</f>
        <v/>
      </c>
      <c r="G622" s="22"/>
      <c r="H622" s="22"/>
    </row>
    <row r="623" spans="1:8" ht="12">
      <c r="A623" s="63"/>
      <c r="B623" s="74" t="s">
        <v>416</v>
      </c>
      <c r="C623" s="21" t="s">
        <v>1187</v>
      </c>
      <c r="D623" s="162" t="s">
        <v>112</v>
      </c>
      <c r="E623" s="21" t="s">
        <v>1188</v>
      </c>
      <c r="F623" s="162" t="str">
        <f>IF(wskakunin_kanri3_JIMU__sikaku="", "", wskakunin_kanri3_JIMU__sikaku)</f>
        <v/>
      </c>
      <c r="G623" s="22"/>
      <c r="H623" s="22"/>
    </row>
    <row r="624" spans="1:8" ht="12">
      <c r="A624" s="47"/>
      <c r="B624" s="80" t="s">
        <v>420</v>
      </c>
      <c r="C624" s="21" t="s">
        <v>1189</v>
      </c>
      <c r="D624" s="162" t="s">
        <v>112</v>
      </c>
      <c r="E624" s="21" t="s">
        <v>1190</v>
      </c>
      <c r="F624" s="162" t="str">
        <f>IF(wskakunin_kanri3_JIMU_SIKAKU__label="","",wskakunin_kanri3_JIMU_SIKAKU__label)</f>
        <v/>
      </c>
      <c r="G624" s="22"/>
      <c r="H624" s="22"/>
    </row>
    <row r="625" spans="1:8" ht="12">
      <c r="A625" s="47"/>
      <c r="B625" s="80" t="s">
        <v>423</v>
      </c>
      <c r="C625" s="21" t="s">
        <v>1191</v>
      </c>
      <c r="D625" s="162" t="s">
        <v>112</v>
      </c>
      <c r="E625" s="21" t="s">
        <v>1192</v>
      </c>
      <c r="F625" s="162" t="str">
        <f>IF(wskakunin_kanri3_JIMU_TOUROKU_KIKAN__label="","",wskakunin_kanri3_JIMU_TOUROKU_KIKAN__label)</f>
        <v/>
      </c>
      <c r="G625" s="22"/>
      <c r="H625" s="22"/>
    </row>
    <row r="626" spans="1:8" ht="12">
      <c r="A626" s="47"/>
      <c r="B626" s="80" t="s">
        <v>427</v>
      </c>
      <c r="C626" s="21" t="s">
        <v>1193</v>
      </c>
      <c r="D626" s="255" t="s">
        <v>112</v>
      </c>
      <c r="E626" s="21" t="s">
        <v>1194</v>
      </c>
      <c r="F626" s="162" t="str">
        <f>IF(wskakunin_kanri3_JIMU_NO="","",wskakunin_kanri3_JIMU_NO)</f>
        <v/>
      </c>
      <c r="G626" s="22"/>
      <c r="H626" s="22"/>
    </row>
    <row r="627" spans="1:8" ht="12">
      <c r="A627" s="63"/>
      <c r="B627" s="74" t="s">
        <v>431</v>
      </c>
      <c r="C627" s="21" t="s">
        <v>1195</v>
      </c>
      <c r="D627" s="162" t="s">
        <v>112</v>
      </c>
      <c r="E627" s="21" t="s">
        <v>1196</v>
      </c>
      <c r="F627" s="162" t="str">
        <f>IF(wskakunin_kanri3_JIMU_NAME="", "", wskakunin_kanri3_JIMU_NAME)</f>
        <v/>
      </c>
      <c r="G627" s="22"/>
      <c r="H627" s="22"/>
    </row>
    <row r="628" spans="1:8" ht="12">
      <c r="A628" s="63"/>
      <c r="B628" s="74" t="s">
        <v>205</v>
      </c>
      <c r="C628" s="21" t="s">
        <v>1197</v>
      </c>
      <c r="D628" s="255" t="s">
        <v>112</v>
      </c>
      <c r="E628" s="21" t="s">
        <v>1198</v>
      </c>
      <c r="F628" s="162" t="str">
        <f>IF(wskakunin_kanri3_ZIP="", "", wskakunin_kanri3_ZIP)</f>
        <v/>
      </c>
      <c r="G628" s="22"/>
      <c r="H628" s="22"/>
    </row>
    <row r="629" spans="1:8" ht="12">
      <c r="A629" s="63"/>
      <c r="B629" s="74" t="s">
        <v>438</v>
      </c>
      <c r="C629" s="21" t="s">
        <v>1199</v>
      </c>
      <c r="D629" s="162" t="s">
        <v>112</v>
      </c>
      <c r="E629" s="21" t="s">
        <v>1200</v>
      </c>
      <c r="F629" s="162" t="str">
        <f>IF(wskakunin_kanri3__address="", "", wskakunin_kanri3__address)</f>
        <v/>
      </c>
      <c r="G629" s="22"/>
      <c r="H629" s="22"/>
    </row>
    <row r="630" spans="1:8" ht="12">
      <c r="A630" s="63"/>
      <c r="B630" s="74" t="s">
        <v>214</v>
      </c>
      <c r="C630" s="21" t="s">
        <v>1201</v>
      </c>
      <c r="D630" s="255" t="s">
        <v>112</v>
      </c>
      <c r="E630" s="21" t="s">
        <v>1202</v>
      </c>
      <c r="F630" s="162" t="str">
        <f>IF(wskakunin_kanri3_TEL="", "", wskakunin_kanri3_TEL)</f>
        <v/>
      </c>
      <c r="G630" s="22"/>
      <c r="H630" s="22"/>
    </row>
    <row r="631" spans="1:8" ht="12">
      <c r="A631" s="63"/>
      <c r="B631" s="74" t="s">
        <v>610</v>
      </c>
      <c r="C631" s="21" t="s">
        <v>1203</v>
      </c>
      <c r="D631" s="255" t="s">
        <v>112</v>
      </c>
      <c r="E631" s="21" t="s">
        <v>1204</v>
      </c>
      <c r="F631" s="162" t="str">
        <f>IF(wskakunin_kanri3_DOC="","",wskakunin_kanri3_DOC)</f>
        <v/>
      </c>
      <c r="G631" s="22"/>
      <c r="H631" s="22"/>
    </row>
    <row r="632" spans="1:8" ht="12">
      <c r="A632" s="47"/>
      <c r="B632" s="77"/>
      <c r="G632" s="22"/>
      <c r="H632" s="22"/>
    </row>
    <row r="633" spans="1:8" ht="12">
      <c r="A633" s="148" t="s">
        <v>1205</v>
      </c>
      <c r="B633" s="47" t="s">
        <v>1147</v>
      </c>
      <c r="G633" s="22"/>
      <c r="H633" s="22"/>
    </row>
    <row r="634" spans="1:8" ht="12">
      <c r="A634" s="30"/>
      <c r="B634" s="74" t="s">
        <v>392</v>
      </c>
      <c r="C634" s="21" t="s">
        <v>1206</v>
      </c>
      <c r="D634" s="162" t="s">
        <v>112</v>
      </c>
      <c r="E634" s="21" t="s">
        <v>1207</v>
      </c>
      <c r="F634" s="162" t="str">
        <f>IF(wskakunin_kanri4__sikaku="", "", wskakunin_kanri4__sikaku)</f>
        <v/>
      </c>
      <c r="G634" s="22"/>
      <c r="H634" s="22"/>
    </row>
    <row r="635" spans="1:8" ht="12">
      <c r="A635" s="30"/>
      <c r="B635" s="74" t="s">
        <v>396</v>
      </c>
      <c r="C635" s="21" t="s">
        <v>1208</v>
      </c>
      <c r="D635" s="162" t="s">
        <v>112</v>
      </c>
      <c r="E635" s="21" t="s">
        <v>1209</v>
      </c>
      <c r="F635" s="162" t="str">
        <f>IF(wskakunin_kanri4_SIKAKU__label="", "", wskakunin_kanri4_SIKAKU__label)</f>
        <v/>
      </c>
      <c r="G635" s="22"/>
      <c r="H635" s="22"/>
    </row>
    <row r="636" spans="1:8" ht="12">
      <c r="A636" s="35"/>
      <c r="B636" s="80" t="s">
        <v>400</v>
      </c>
      <c r="C636" s="21" t="s">
        <v>1210</v>
      </c>
      <c r="D636" s="162" t="s">
        <v>112</v>
      </c>
      <c r="E636" s="21" t="s">
        <v>1211</v>
      </c>
      <c r="F636" s="162" t="str">
        <f>IF(wskakunin_kanri4_TOUROKU_KIKAN__label="","",wskakunin_kanri4_TOUROKU_KIKAN__label)</f>
        <v/>
      </c>
      <c r="G636" s="22"/>
      <c r="H636" s="22"/>
    </row>
    <row r="637" spans="1:8" ht="12">
      <c r="A637" s="35"/>
      <c r="B637" s="80" t="s">
        <v>404</v>
      </c>
      <c r="C637" s="21" t="s">
        <v>1212</v>
      </c>
      <c r="D637" s="255" t="s">
        <v>112</v>
      </c>
      <c r="E637" s="21" t="s">
        <v>1213</v>
      </c>
      <c r="F637" s="162" t="str">
        <f>IF(wskakunin_kanri4_KENTIKUSI_NO="","",wskakunin_kanri4_KENTIKUSI_NO)</f>
        <v/>
      </c>
      <c r="G637" s="22"/>
      <c r="H637" s="22"/>
    </row>
    <row r="638" spans="1:8" ht="12">
      <c r="A638" s="63"/>
      <c r="B638" s="74" t="s">
        <v>194</v>
      </c>
      <c r="C638" s="21" t="s">
        <v>1214</v>
      </c>
      <c r="D638" s="162" t="s">
        <v>112</v>
      </c>
      <c r="E638" s="21" t="s">
        <v>1215</v>
      </c>
      <c r="F638" s="162" t="str">
        <f>IF(wskakunin_kanri4_NAME="", "", wskakunin_kanri4_NAME)</f>
        <v/>
      </c>
      <c r="G638" s="22"/>
      <c r="H638" s="22"/>
    </row>
    <row r="639" spans="1:8" ht="12">
      <c r="A639" s="63"/>
      <c r="B639" s="74" t="s">
        <v>416</v>
      </c>
      <c r="C639" s="21" t="s">
        <v>1216</v>
      </c>
      <c r="D639" s="162" t="s">
        <v>112</v>
      </c>
      <c r="E639" s="21" t="s">
        <v>1217</v>
      </c>
      <c r="F639" s="162" t="str">
        <f>IF(wskakunin_kanri4_JIMU__sikaku="", "", wskakunin_kanri4_JIMU__sikaku)</f>
        <v/>
      </c>
      <c r="G639" s="22"/>
      <c r="H639" s="22"/>
    </row>
    <row r="640" spans="1:8" ht="12">
      <c r="A640" s="47"/>
      <c r="B640" s="80" t="s">
        <v>420</v>
      </c>
      <c r="C640" s="21" t="s">
        <v>1218</v>
      </c>
      <c r="D640" s="162" t="s">
        <v>112</v>
      </c>
      <c r="E640" s="21" t="s">
        <v>1219</v>
      </c>
      <c r="F640" s="162" t="str">
        <f>IF(wskakunin_kanri4_JIMU_SIKAKU__label="","",wskakunin_kanri4_JIMU_SIKAKU__label)</f>
        <v/>
      </c>
      <c r="G640" s="22"/>
      <c r="H640" s="22"/>
    </row>
    <row r="641" spans="1:8" ht="12">
      <c r="A641" s="47"/>
      <c r="B641" s="80" t="s">
        <v>423</v>
      </c>
      <c r="C641" s="21" t="s">
        <v>1220</v>
      </c>
      <c r="D641" s="162" t="s">
        <v>112</v>
      </c>
      <c r="E641" s="21" t="s">
        <v>1221</v>
      </c>
      <c r="F641" s="162" t="str">
        <f>IF(wskakunin_kanri4_JIMU_TOUROKU_KIKAN__label="","",wskakunin_kanri4_JIMU_TOUROKU_KIKAN__label)</f>
        <v/>
      </c>
      <c r="G641" s="22"/>
      <c r="H641" s="22"/>
    </row>
    <row r="642" spans="1:8" ht="12">
      <c r="A642" s="47"/>
      <c r="B642" s="80" t="s">
        <v>427</v>
      </c>
      <c r="C642" s="21" t="s">
        <v>1222</v>
      </c>
      <c r="D642" s="255" t="s">
        <v>112</v>
      </c>
      <c r="E642" s="21" t="s">
        <v>1223</v>
      </c>
      <c r="F642" s="162" t="str">
        <f>IF(wskakunin_kanri4_JIMU_NO="","",wskakunin_kanri4_JIMU_NO)</f>
        <v/>
      </c>
      <c r="G642" s="22"/>
      <c r="H642" s="22"/>
    </row>
    <row r="643" spans="1:8" ht="12">
      <c r="A643" s="63"/>
      <c r="B643" s="74" t="s">
        <v>431</v>
      </c>
      <c r="C643" s="21" t="s">
        <v>1224</v>
      </c>
      <c r="D643" s="162" t="s">
        <v>112</v>
      </c>
      <c r="E643" s="21" t="s">
        <v>1225</v>
      </c>
      <c r="F643" s="162" t="str">
        <f>IF(wskakunin_kanri4_JIMU_NAME="", "", wskakunin_kanri4_JIMU_NAME)</f>
        <v/>
      </c>
      <c r="G643" s="22"/>
      <c r="H643" s="22"/>
    </row>
    <row r="644" spans="1:8" ht="12">
      <c r="A644" s="63"/>
      <c r="B644" s="74" t="s">
        <v>205</v>
      </c>
      <c r="C644" s="21" t="s">
        <v>1226</v>
      </c>
      <c r="D644" s="255" t="s">
        <v>112</v>
      </c>
      <c r="E644" s="21" t="s">
        <v>1227</v>
      </c>
      <c r="F644" s="162" t="str">
        <f>IF(wskakunin_kanri4_ZIP="", "", wskakunin_kanri4_ZIP)</f>
        <v/>
      </c>
      <c r="G644" s="22"/>
      <c r="H644" s="22"/>
    </row>
    <row r="645" spans="1:8" ht="12">
      <c r="A645" s="63"/>
      <c r="B645" s="74" t="s">
        <v>438</v>
      </c>
      <c r="C645" s="21" t="s">
        <v>1228</v>
      </c>
      <c r="D645" s="162" t="s">
        <v>112</v>
      </c>
      <c r="E645" s="21" t="s">
        <v>1229</v>
      </c>
      <c r="F645" s="162" t="str">
        <f>IF(wskakunin_kanri4__address="", "", wskakunin_kanri4__address)</f>
        <v/>
      </c>
      <c r="G645" s="22"/>
      <c r="H645" s="22"/>
    </row>
    <row r="646" spans="1:8" ht="12">
      <c r="A646" s="63"/>
      <c r="B646" s="74" t="s">
        <v>214</v>
      </c>
      <c r="C646" s="21" t="s">
        <v>1230</v>
      </c>
      <c r="D646" s="255" t="s">
        <v>112</v>
      </c>
      <c r="E646" s="21" t="s">
        <v>1231</v>
      </c>
      <c r="F646" s="162" t="str">
        <f>IF(wskakunin_kanri4_TEL="", "", wskakunin_kanri4_TEL)</f>
        <v/>
      </c>
      <c r="G646" s="22"/>
      <c r="H646" s="22"/>
    </row>
    <row r="647" spans="1:8" ht="12">
      <c r="A647" s="63"/>
      <c r="B647" s="74" t="s">
        <v>610</v>
      </c>
      <c r="C647" s="21" t="s">
        <v>1232</v>
      </c>
      <c r="D647" s="255" t="s">
        <v>112</v>
      </c>
      <c r="E647" s="21" t="s">
        <v>1233</v>
      </c>
      <c r="F647" s="162" t="str">
        <f>IF(wskakunin_kanri4_DOC="","",wskakunin_kanri4_DOC)</f>
        <v/>
      </c>
      <c r="G647" s="22"/>
      <c r="H647" s="22"/>
    </row>
    <row r="648" spans="1:8" ht="12">
      <c r="A648" s="47"/>
      <c r="B648" s="78"/>
      <c r="G648" s="22"/>
      <c r="H648" s="22"/>
    </row>
    <row r="649" spans="1:8" ht="12">
      <c r="A649" s="148" t="s">
        <v>1234</v>
      </c>
      <c r="B649" s="47" t="s">
        <v>1147</v>
      </c>
      <c r="G649" s="22"/>
      <c r="H649" s="22"/>
    </row>
    <row r="650" spans="1:8" ht="12">
      <c r="A650" s="30"/>
      <c r="B650" s="74" t="s">
        <v>392</v>
      </c>
      <c r="C650" s="21" t="s">
        <v>1235</v>
      </c>
      <c r="D650" s="162" t="s">
        <v>112</v>
      </c>
      <c r="E650" s="21" t="s">
        <v>1236</v>
      </c>
      <c r="F650" s="162" t="str">
        <f>IF(wskakunin_kanri5__sikaku="", "", wskakunin_kanri5__sikaku)</f>
        <v/>
      </c>
      <c r="H650" s="22"/>
    </row>
    <row r="651" spans="1:8" ht="12">
      <c r="A651" s="30"/>
      <c r="B651" s="74" t="s">
        <v>396</v>
      </c>
      <c r="C651" s="21" t="s">
        <v>1237</v>
      </c>
      <c r="D651" s="162" t="s">
        <v>112</v>
      </c>
      <c r="E651" s="21" t="s">
        <v>1238</v>
      </c>
      <c r="F651" s="162" t="str">
        <f>IF(wskakunin_kanri5_SIKAKU__label="", "", wskakunin_kanri5_SIKAKU__label)</f>
        <v/>
      </c>
      <c r="H651" s="22"/>
    </row>
    <row r="652" spans="1:8" ht="12">
      <c r="A652" s="35"/>
      <c r="B652" s="80" t="s">
        <v>400</v>
      </c>
      <c r="C652" s="21" t="s">
        <v>1239</v>
      </c>
      <c r="D652" s="162" t="s">
        <v>112</v>
      </c>
      <c r="E652" s="21" t="s">
        <v>1240</v>
      </c>
      <c r="F652" s="162" t="str">
        <f>IF(wskakunin_kanri5_TOUROKU_KIKAN__label="","",wskakunin_kanri5_TOUROKU_KIKAN__label)</f>
        <v/>
      </c>
      <c r="H652" s="22"/>
    </row>
    <row r="653" spans="1:8" ht="12">
      <c r="A653" s="35"/>
      <c r="B653" s="80" t="s">
        <v>404</v>
      </c>
      <c r="C653" s="21" t="s">
        <v>1241</v>
      </c>
      <c r="D653" s="255" t="s">
        <v>112</v>
      </c>
      <c r="E653" s="21" t="s">
        <v>1242</v>
      </c>
      <c r="F653" s="162" t="str">
        <f>IF(wskakunin_kanri5_KENTIKUSI_NO="","",wskakunin_kanri5_KENTIKUSI_NO)</f>
        <v/>
      </c>
      <c r="H653" s="22"/>
    </row>
    <row r="654" spans="1:8" ht="12">
      <c r="A654" s="63"/>
      <c r="B654" s="74" t="s">
        <v>194</v>
      </c>
      <c r="C654" s="21" t="s">
        <v>1243</v>
      </c>
      <c r="D654" s="162" t="s">
        <v>112</v>
      </c>
      <c r="E654" s="21" t="s">
        <v>1244</v>
      </c>
      <c r="F654" s="162" t="str">
        <f>IF(wskakunin_kanri5_NAME="", "", wskakunin_kanri5_NAME)</f>
        <v/>
      </c>
      <c r="H654" s="22"/>
    </row>
    <row r="655" spans="1:8" ht="12">
      <c r="A655" s="63"/>
      <c r="B655" s="74" t="s">
        <v>416</v>
      </c>
      <c r="C655" s="21" t="s">
        <v>1245</v>
      </c>
      <c r="D655" s="162" t="s">
        <v>112</v>
      </c>
      <c r="E655" s="21" t="s">
        <v>1246</v>
      </c>
      <c r="F655" s="162" t="str">
        <f>IF(wskakunin_kanri5_JIMU__sikaku="", "", wskakunin_kanri5_JIMU__sikaku)</f>
        <v/>
      </c>
      <c r="H655" s="22"/>
    </row>
    <row r="656" spans="1:8" ht="12">
      <c r="A656" s="47"/>
      <c r="B656" s="80" t="s">
        <v>420</v>
      </c>
      <c r="C656" s="21" t="s">
        <v>1247</v>
      </c>
      <c r="D656" s="162" t="s">
        <v>112</v>
      </c>
      <c r="E656" s="21" t="s">
        <v>1248</v>
      </c>
      <c r="F656" s="162" t="str">
        <f>IF(wskakunin_kanri5_JIMU_SIKAKU__label="","",wskakunin_kanri5_JIMU_SIKAKU__label)</f>
        <v/>
      </c>
      <c r="H656" s="22"/>
    </row>
    <row r="657" spans="1:8" ht="12">
      <c r="A657" s="47"/>
      <c r="B657" s="80" t="s">
        <v>423</v>
      </c>
      <c r="C657" s="21" t="s">
        <v>1249</v>
      </c>
      <c r="D657" s="162" t="s">
        <v>112</v>
      </c>
      <c r="E657" s="21" t="s">
        <v>1250</v>
      </c>
      <c r="F657" s="162" t="str">
        <f>IF(wskakunin_kanri5_JIMU_TOUROKU_KIKAN__label="","",wskakunin_kanri5_JIMU_TOUROKU_KIKAN__label)</f>
        <v/>
      </c>
      <c r="H657" s="22"/>
    </row>
    <row r="658" spans="1:8" ht="12">
      <c r="A658" s="47"/>
      <c r="B658" s="80" t="s">
        <v>427</v>
      </c>
      <c r="C658" s="21" t="s">
        <v>1251</v>
      </c>
      <c r="D658" s="255" t="s">
        <v>112</v>
      </c>
      <c r="E658" s="21" t="s">
        <v>1252</v>
      </c>
      <c r="F658" s="162" t="str">
        <f>IF(wskakunin_kanri5_JIMU_NO="","",wskakunin_kanri5_JIMU_NO)</f>
        <v/>
      </c>
      <c r="H658" s="22"/>
    </row>
    <row r="659" spans="1:8" ht="12">
      <c r="A659" s="63"/>
      <c r="B659" s="74" t="s">
        <v>431</v>
      </c>
      <c r="C659" s="21" t="s">
        <v>1253</v>
      </c>
      <c r="D659" s="162" t="s">
        <v>112</v>
      </c>
      <c r="E659" s="21" t="s">
        <v>1254</v>
      </c>
      <c r="F659" s="162" t="str">
        <f>IF(wskakunin_kanri5_JIMU_NAME="", "", wskakunin_kanri5_JIMU_NAME)</f>
        <v/>
      </c>
      <c r="H659" s="22"/>
    </row>
    <row r="660" spans="1:8" ht="12">
      <c r="A660" s="63"/>
      <c r="B660" s="74" t="s">
        <v>205</v>
      </c>
      <c r="C660" s="21" t="s">
        <v>1255</v>
      </c>
      <c r="D660" s="255" t="s">
        <v>112</v>
      </c>
      <c r="E660" s="21" t="s">
        <v>1256</v>
      </c>
      <c r="F660" s="162" t="str">
        <f>IF(wskakunin_kanri5_ZIP="", "", wskakunin_kanri5_ZIP)</f>
        <v/>
      </c>
      <c r="H660" s="22"/>
    </row>
    <row r="661" spans="1:8" ht="12">
      <c r="A661" s="63"/>
      <c r="B661" s="74" t="s">
        <v>438</v>
      </c>
      <c r="C661" s="21" t="s">
        <v>1257</v>
      </c>
      <c r="D661" s="162" t="s">
        <v>112</v>
      </c>
      <c r="E661" s="21" t="s">
        <v>1258</v>
      </c>
      <c r="F661" s="162" t="str">
        <f>IF(wskakunin_kanri5__address="", "", wskakunin_kanri5__address)</f>
        <v/>
      </c>
      <c r="H661" s="22"/>
    </row>
    <row r="662" spans="1:8" ht="12">
      <c r="A662" s="63"/>
      <c r="B662" s="74" t="s">
        <v>214</v>
      </c>
      <c r="C662" s="21" t="s">
        <v>1259</v>
      </c>
      <c r="D662" s="255" t="s">
        <v>112</v>
      </c>
      <c r="E662" s="21" t="s">
        <v>1260</v>
      </c>
      <c r="F662" s="162" t="str">
        <f>IF(wskakunin_kanri5_TEL="", "", wskakunin_kanri5_TEL)</f>
        <v/>
      </c>
      <c r="H662" s="22"/>
    </row>
    <row r="663" spans="1:8" ht="12">
      <c r="A663" s="63"/>
      <c r="B663" s="74" t="s">
        <v>610</v>
      </c>
      <c r="C663" s="21" t="s">
        <v>1261</v>
      </c>
      <c r="D663" s="255" t="s">
        <v>112</v>
      </c>
      <c r="E663" s="21" t="s">
        <v>1262</v>
      </c>
      <c r="F663" s="162" t="str">
        <f>IF(wskakunin_kanri5_DOC="","",wskakunin_kanri5_DOC)</f>
        <v/>
      </c>
      <c r="H663" s="22"/>
    </row>
    <row r="664" spans="1:8" ht="12">
      <c r="A664" s="47"/>
      <c r="B664" s="77"/>
      <c r="H664" s="22"/>
    </row>
    <row r="665" spans="1:8" ht="12">
      <c r="A665" s="148" t="s">
        <v>1263</v>
      </c>
      <c r="B665" s="47" t="s">
        <v>1147</v>
      </c>
      <c r="H665" s="22"/>
    </row>
    <row r="666" spans="1:8" ht="12">
      <c r="A666" s="30"/>
      <c r="B666" s="74" t="s">
        <v>392</v>
      </c>
      <c r="C666" s="21" t="s">
        <v>1264</v>
      </c>
      <c r="D666" s="162" t="s">
        <v>112</v>
      </c>
      <c r="E666" s="21" t="s">
        <v>1265</v>
      </c>
      <c r="F666" s="162" t="str">
        <f>IF(wskakunin_kanri6__sikaku="", "", wskakunin_kanri6__sikaku)</f>
        <v/>
      </c>
      <c r="H666" s="22"/>
    </row>
    <row r="667" spans="1:8" ht="12">
      <c r="A667" s="30"/>
      <c r="B667" s="74" t="s">
        <v>396</v>
      </c>
      <c r="C667" s="21" t="s">
        <v>1266</v>
      </c>
      <c r="D667" s="162" t="s">
        <v>112</v>
      </c>
      <c r="E667" s="21" t="s">
        <v>1267</v>
      </c>
      <c r="F667" s="162" t="str">
        <f>IF(wskakunin_kanri6_SIKAKU__label="", "", wskakunin_kanri6_SIKAKU__label)</f>
        <v/>
      </c>
      <c r="H667" s="22"/>
    </row>
    <row r="668" spans="1:8" ht="12">
      <c r="A668" s="35"/>
      <c r="B668" s="80" t="s">
        <v>400</v>
      </c>
      <c r="C668" s="21" t="s">
        <v>1268</v>
      </c>
      <c r="D668" s="162" t="s">
        <v>112</v>
      </c>
      <c r="E668" s="21" t="s">
        <v>1269</v>
      </c>
      <c r="F668" s="162" t="str">
        <f>IF(wskakunin_kanri6_TOUROKU_KIKAN__label="","",wskakunin_kanri6_TOUROKU_KIKAN__label)</f>
        <v/>
      </c>
      <c r="H668" s="22"/>
    </row>
    <row r="669" spans="1:8" ht="12">
      <c r="A669" s="35"/>
      <c r="B669" s="80" t="s">
        <v>404</v>
      </c>
      <c r="C669" s="21" t="s">
        <v>1270</v>
      </c>
      <c r="D669" s="255" t="s">
        <v>112</v>
      </c>
      <c r="E669" s="21" t="s">
        <v>1271</v>
      </c>
      <c r="F669" s="162" t="str">
        <f>IF(wskakunin_kanri6_KENTIKUSI_NO="","",wskakunin_kanri6_KENTIKUSI_NO)</f>
        <v/>
      </c>
      <c r="H669" s="22"/>
    </row>
    <row r="670" spans="1:8" ht="12">
      <c r="A670" s="63"/>
      <c r="B670" s="74" t="s">
        <v>194</v>
      </c>
      <c r="C670" s="21" t="s">
        <v>1272</v>
      </c>
      <c r="D670" s="162" t="s">
        <v>112</v>
      </c>
      <c r="E670" s="21" t="s">
        <v>1273</v>
      </c>
      <c r="F670" s="162" t="str">
        <f>IF(wskakunin_kanri6_NAME="", "", wskakunin_kanri6_NAME)</f>
        <v/>
      </c>
      <c r="H670" s="22"/>
    </row>
    <row r="671" spans="1:8" ht="12">
      <c r="A671" s="63"/>
      <c r="B671" s="74" t="s">
        <v>416</v>
      </c>
      <c r="C671" s="21" t="s">
        <v>1274</v>
      </c>
      <c r="D671" s="162" t="s">
        <v>112</v>
      </c>
      <c r="E671" s="21" t="s">
        <v>1275</v>
      </c>
      <c r="F671" s="162" t="str">
        <f>IF(wskakunin_kanri6_JIMU__sikaku="", "", wskakunin_kanri6_JIMU__sikaku)</f>
        <v/>
      </c>
      <c r="H671" s="22"/>
    </row>
    <row r="672" spans="1:8" ht="12">
      <c r="A672" s="47"/>
      <c r="B672" s="80" t="s">
        <v>420</v>
      </c>
      <c r="C672" s="21" t="s">
        <v>1276</v>
      </c>
      <c r="D672" s="162" t="s">
        <v>112</v>
      </c>
      <c r="E672" s="21" t="s">
        <v>1277</v>
      </c>
      <c r="F672" s="162" t="str">
        <f>IF(wskakunin_kanri6_JIMU_SIKAKU__label="","",wskakunin_kanri6_JIMU_SIKAKU__label)</f>
        <v/>
      </c>
      <c r="H672" s="22"/>
    </row>
    <row r="673" spans="1:8" ht="12">
      <c r="A673" s="47"/>
      <c r="B673" s="80" t="s">
        <v>423</v>
      </c>
      <c r="C673" s="21" t="s">
        <v>1278</v>
      </c>
      <c r="D673" s="162" t="s">
        <v>112</v>
      </c>
      <c r="E673" s="21" t="s">
        <v>1279</v>
      </c>
      <c r="F673" s="162" t="str">
        <f>IF(wskakunin_kanri6_JIMU_TOUROKU_KIKAN__label="","",wskakunin_kanri6_JIMU_TOUROKU_KIKAN__label)</f>
        <v/>
      </c>
      <c r="H673" s="22"/>
    </row>
    <row r="674" spans="1:8" ht="12">
      <c r="A674" s="47"/>
      <c r="B674" s="80" t="s">
        <v>427</v>
      </c>
      <c r="C674" s="21" t="s">
        <v>1280</v>
      </c>
      <c r="D674" s="255" t="s">
        <v>112</v>
      </c>
      <c r="E674" s="21" t="s">
        <v>1281</v>
      </c>
      <c r="F674" s="162" t="str">
        <f>IF(wskakunin_kanri6_JIMU_NO="","",wskakunin_kanri6_JIMU_NO)</f>
        <v/>
      </c>
      <c r="H674" s="22"/>
    </row>
    <row r="675" spans="1:8" ht="12">
      <c r="A675" s="63"/>
      <c r="B675" s="74" t="s">
        <v>431</v>
      </c>
      <c r="C675" s="21" t="s">
        <v>1282</v>
      </c>
      <c r="D675" s="162" t="s">
        <v>112</v>
      </c>
      <c r="E675" s="21" t="s">
        <v>1283</v>
      </c>
      <c r="F675" s="162" t="str">
        <f>IF(wskakunin_kanri6_JIMU_NAME="", "", wskakunin_kanri6_JIMU_NAME)</f>
        <v/>
      </c>
      <c r="H675" s="22"/>
    </row>
    <row r="676" spans="1:8" ht="12">
      <c r="A676" s="63"/>
      <c r="B676" s="74" t="s">
        <v>205</v>
      </c>
      <c r="C676" s="21" t="s">
        <v>1284</v>
      </c>
      <c r="D676" s="255" t="s">
        <v>112</v>
      </c>
      <c r="E676" s="21" t="s">
        <v>1285</v>
      </c>
      <c r="F676" s="162" t="str">
        <f>IF(wskakunin_kanri6_ZIP="", "", wskakunin_kanri6_ZIP)</f>
        <v/>
      </c>
      <c r="H676" s="22"/>
    </row>
    <row r="677" spans="1:8" ht="12">
      <c r="A677" s="63"/>
      <c r="B677" s="74" t="s">
        <v>438</v>
      </c>
      <c r="C677" s="21" t="s">
        <v>1286</v>
      </c>
      <c r="D677" s="162" t="s">
        <v>112</v>
      </c>
      <c r="E677" s="21" t="s">
        <v>1287</v>
      </c>
      <c r="F677" s="162" t="str">
        <f>IF(wskakunin_kanri6__address="", "", wskakunin_kanri6__address)</f>
        <v/>
      </c>
      <c r="H677" s="22"/>
    </row>
    <row r="678" spans="1:8" ht="12">
      <c r="A678" s="63"/>
      <c r="B678" s="74" t="s">
        <v>214</v>
      </c>
      <c r="C678" s="21" t="s">
        <v>1288</v>
      </c>
      <c r="D678" s="255" t="s">
        <v>112</v>
      </c>
      <c r="E678" s="21" t="s">
        <v>1289</v>
      </c>
      <c r="F678" s="162" t="str">
        <f>IF(wskakunin_kanri6_TEL="", "", wskakunin_kanri6_TEL)</f>
        <v/>
      </c>
      <c r="H678" s="22"/>
    </row>
    <row r="679" spans="1:8" ht="12">
      <c r="A679" s="63"/>
      <c r="B679" s="74" t="s">
        <v>610</v>
      </c>
      <c r="C679" s="21" t="s">
        <v>1290</v>
      </c>
      <c r="D679" s="255" t="s">
        <v>112</v>
      </c>
      <c r="E679" s="21" t="s">
        <v>1291</v>
      </c>
      <c r="F679" s="162" t="str">
        <f>IF(wskakunin_kanri6_DOC="","",wskakunin_kanri6_DOC)</f>
        <v/>
      </c>
      <c r="H679" s="22"/>
    </row>
    <row r="680" spans="1:8" ht="12">
      <c r="A680" s="47"/>
      <c r="B680" s="77"/>
      <c r="H680" s="22"/>
    </row>
    <row r="681" spans="1:8" ht="12">
      <c r="A681" s="148" t="s">
        <v>1292</v>
      </c>
      <c r="B681" s="47" t="s">
        <v>1147</v>
      </c>
      <c r="H681" s="22"/>
    </row>
    <row r="682" spans="1:8" ht="12">
      <c r="A682" s="30"/>
      <c r="B682" s="74" t="s">
        <v>392</v>
      </c>
      <c r="C682" s="21" t="s">
        <v>1293</v>
      </c>
      <c r="D682" s="162" t="s">
        <v>112</v>
      </c>
      <c r="E682" s="21" t="s">
        <v>1294</v>
      </c>
      <c r="F682" s="162" t="str">
        <f>IF(wskakunin_kanri7__sikaku="", "", wskakunin_kanri7__sikaku)</f>
        <v/>
      </c>
      <c r="H682" s="22"/>
    </row>
    <row r="683" spans="1:8" ht="12">
      <c r="A683" s="30"/>
      <c r="B683" s="74" t="s">
        <v>396</v>
      </c>
      <c r="C683" s="21" t="s">
        <v>1295</v>
      </c>
      <c r="D683" s="162" t="s">
        <v>112</v>
      </c>
      <c r="E683" s="21" t="s">
        <v>1296</v>
      </c>
      <c r="F683" s="162" t="str">
        <f>IF(wskakunin_kanri7_SIKAKU__label="", "", wskakunin_kanri7_SIKAKU__label)</f>
        <v/>
      </c>
      <c r="H683" s="22"/>
    </row>
    <row r="684" spans="1:8" ht="12">
      <c r="A684" s="35"/>
      <c r="B684" s="80" t="s">
        <v>400</v>
      </c>
      <c r="C684" s="21" t="s">
        <v>1297</v>
      </c>
      <c r="D684" s="162" t="s">
        <v>112</v>
      </c>
      <c r="E684" s="21" t="s">
        <v>1298</v>
      </c>
      <c r="F684" s="162" t="str">
        <f>IF(wskakunin_kanri7_TOUROKU_KIKAN__label="","",wskakunin_kanri7_TOUROKU_KIKAN__label)</f>
        <v/>
      </c>
      <c r="H684" s="22"/>
    </row>
    <row r="685" spans="1:8" ht="12">
      <c r="A685" s="35"/>
      <c r="B685" s="80" t="s">
        <v>404</v>
      </c>
      <c r="C685" s="21" t="s">
        <v>1299</v>
      </c>
      <c r="D685" s="255" t="s">
        <v>112</v>
      </c>
      <c r="E685" s="21" t="s">
        <v>1300</v>
      </c>
      <c r="F685" s="162" t="str">
        <f>IF(wskakunin_kanri7_KENTIKUSI_NO="","",wskakunin_kanri7_KENTIKUSI_NO)</f>
        <v/>
      </c>
      <c r="H685" s="22"/>
    </row>
    <row r="686" spans="1:8" ht="12">
      <c r="A686" s="63"/>
      <c r="B686" s="74" t="s">
        <v>194</v>
      </c>
      <c r="C686" s="21" t="s">
        <v>1301</v>
      </c>
      <c r="D686" s="162" t="s">
        <v>112</v>
      </c>
      <c r="E686" s="21" t="s">
        <v>1302</v>
      </c>
      <c r="F686" s="162" t="str">
        <f>IF(wskakunin_kanri7_NAME="", "", wskakunin_kanri7_NAME)</f>
        <v/>
      </c>
      <c r="H686" s="22"/>
    </row>
    <row r="687" spans="1:8" ht="12">
      <c r="A687" s="63"/>
      <c r="B687" s="74" t="s">
        <v>416</v>
      </c>
      <c r="C687" s="21" t="s">
        <v>1303</v>
      </c>
      <c r="D687" s="162" t="s">
        <v>112</v>
      </c>
      <c r="E687" s="21" t="s">
        <v>1304</v>
      </c>
      <c r="F687" s="162" t="str">
        <f>IF(wskakunin_kanri7_JIMU__sikaku="", "", wskakunin_kanri7_JIMU__sikaku)</f>
        <v/>
      </c>
      <c r="H687" s="22"/>
    </row>
    <row r="688" spans="1:8" ht="12">
      <c r="A688" s="47"/>
      <c r="B688" s="80" t="s">
        <v>420</v>
      </c>
      <c r="C688" s="21" t="s">
        <v>1305</v>
      </c>
      <c r="D688" s="162" t="s">
        <v>112</v>
      </c>
      <c r="E688" s="21" t="s">
        <v>1306</v>
      </c>
      <c r="F688" s="162" t="str">
        <f>IF(wskakunin_kanri7_JIMU_SIKAKU__label="","",wskakunin_kanri7_JIMU_SIKAKU__label)</f>
        <v/>
      </c>
      <c r="H688" s="22"/>
    </row>
    <row r="689" spans="1:8" ht="12">
      <c r="A689" s="47"/>
      <c r="B689" s="80" t="s">
        <v>423</v>
      </c>
      <c r="C689" s="21" t="s">
        <v>1307</v>
      </c>
      <c r="D689" s="162" t="s">
        <v>112</v>
      </c>
      <c r="E689" s="21" t="s">
        <v>1308</v>
      </c>
      <c r="F689" s="162" t="str">
        <f>IF(wskakunin_kanri7_JIMU_TOUROKU_KIKAN__label="","",wskakunin_kanri7_JIMU_TOUROKU_KIKAN__label)</f>
        <v/>
      </c>
      <c r="H689" s="22"/>
    </row>
    <row r="690" spans="1:8" ht="12">
      <c r="A690" s="47"/>
      <c r="B690" s="80" t="s">
        <v>427</v>
      </c>
      <c r="C690" s="21" t="s">
        <v>1309</v>
      </c>
      <c r="D690" s="255" t="s">
        <v>112</v>
      </c>
      <c r="E690" s="21" t="s">
        <v>1310</v>
      </c>
      <c r="F690" s="162" t="str">
        <f>IF(wskakunin_kanri7_JIMU_NO="","",wskakunin_kanri7_JIMU_NO)</f>
        <v/>
      </c>
      <c r="H690" s="22"/>
    </row>
    <row r="691" spans="1:8" ht="12">
      <c r="A691" s="63"/>
      <c r="B691" s="74" t="s">
        <v>431</v>
      </c>
      <c r="C691" s="21" t="s">
        <v>1311</v>
      </c>
      <c r="D691" s="162" t="s">
        <v>112</v>
      </c>
      <c r="E691" s="21" t="s">
        <v>1312</v>
      </c>
      <c r="F691" s="162" t="str">
        <f>IF(wskakunin_kanri7_JIMU_NAME="", "", wskakunin_kanri7_JIMU_NAME)</f>
        <v/>
      </c>
      <c r="H691" s="22"/>
    </row>
    <row r="692" spans="1:8" ht="12">
      <c r="A692" s="63"/>
      <c r="B692" s="74" t="s">
        <v>205</v>
      </c>
      <c r="C692" s="21" t="s">
        <v>1313</v>
      </c>
      <c r="D692" s="255" t="s">
        <v>112</v>
      </c>
      <c r="E692" s="21" t="s">
        <v>1314</v>
      </c>
      <c r="F692" s="162" t="str">
        <f>IF(wskakunin_kanri7_ZIP="", "", wskakunin_kanri7_ZIP)</f>
        <v/>
      </c>
      <c r="H692" s="22"/>
    </row>
    <row r="693" spans="1:8" ht="12">
      <c r="A693" s="63"/>
      <c r="B693" s="74" t="s">
        <v>438</v>
      </c>
      <c r="C693" s="21" t="s">
        <v>1315</v>
      </c>
      <c r="D693" s="162" t="s">
        <v>112</v>
      </c>
      <c r="E693" s="21" t="s">
        <v>1316</v>
      </c>
      <c r="F693" s="162" t="str">
        <f>IF(wskakunin_kanri7__address="", "", wskakunin_kanri7__address)</f>
        <v/>
      </c>
      <c r="H693" s="22"/>
    </row>
    <row r="694" spans="1:8" ht="12">
      <c r="A694" s="63"/>
      <c r="B694" s="74" t="s">
        <v>214</v>
      </c>
      <c r="C694" s="21" t="s">
        <v>1317</v>
      </c>
      <c r="D694" s="255" t="s">
        <v>112</v>
      </c>
      <c r="E694" s="21" t="s">
        <v>1318</v>
      </c>
      <c r="F694" s="162" t="str">
        <f>IF(wskakunin_kanri7_TEL="", "", wskakunin_kanri7_TEL)</f>
        <v/>
      </c>
      <c r="H694" s="22"/>
    </row>
    <row r="695" spans="1:8" ht="12">
      <c r="A695" s="63"/>
      <c r="B695" s="74" t="s">
        <v>610</v>
      </c>
      <c r="C695" s="21" t="s">
        <v>1319</v>
      </c>
      <c r="D695" s="255" t="s">
        <v>112</v>
      </c>
      <c r="E695" s="21" t="s">
        <v>1320</v>
      </c>
      <c r="F695" s="162" t="str">
        <f>IF(wskakunin_kanri7_DOC="","",wskakunin_kanri7_DOC)</f>
        <v/>
      </c>
      <c r="H695" s="22"/>
    </row>
    <row r="696" spans="1:8" ht="12">
      <c r="A696" s="47"/>
      <c r="B696" s="77"/>
      <c r="H696" s="22"/>
    </row>
    <row r="697" spans="1:8" ht="12">
      <c r="A697" s="148" t="s">
        <v>1321</v>
      </c>
      <c r="B697" s="47" t="s">
        <v>1147</v>
      </c>
      <c r="H697" s="22"/>
    </row>
    <row r="698" spans="1:8" ht="12">
      <c r="A698" s="30"/>
      <c r="B698" s="74" t="s">
        <v>392</v>
      </c>
      <c r="C698" s="21" t="s">
        <v>1322</v>
      </c>
      <c r="D698" s="162" t="s">
        <v>112</v>
      </c>
      <c r="E698" s="21" t="s">
        <v>1323</v>
      </c>
      <c r="F698" s="162" t="str">
        <f>IF(wskakunin_kanri8__sikaku="", "", wskakunin_kanri8__sikaku)</f>
        <v/>
      </c>
      <c r="H698" s="22"/>
    </row>
    <row r="699" spans="1:8" ht="12">
      <c r="A699" s="30"/>
      <c r="B699" s="74" t="s">
        <v>396</v>
      </c>
      <c r="C699" s="21" t="s">
        <v>1324</v>
      </c>
      <c r="D699" s="162" t="s">
        <v>112</v>
      </c>
      <c r="E699" s="21" t="s">
        <v>1325</v>
      </c>
      <c r="F699" s="162" t="str">
        <f>IF(wskakunin_kanri8_SIKAKU__label="", "", wskakunin_kanri8_SIKAKU__label)</f>
        <v/>
      </c>
      <c r="H699" s="22"/>
    </row>
    <row r="700" spans="1:8" ht="12">
      <c r="A700" s="35"/>
      <c r="B700" s="80" t="s">
        <v>400</v>
      </c>
      <c r="C700" s="21" t="s">
        <v>1326</v>
      </c>
      <c r="D700" s="162" t="s">
        <v>112</v>
      </c>
      <c r="E700" s="21" t="s">
        <v>1327</v>
      </c>
      <c r="F700" s="162" t="str">
        <f>IF(wskakunin_kanri8_TOUROKU_KIKAN__label="","",wskakunin_kanri8_TOUROKU_KIKAN__label)</f>
        <v/>
      </c>
      <c r="H700" s="22"/>
    </row>
    <row r="701" spans="1:8" ht="12">
      <c r="A701" s="35"/>
      <c r="B701" s="80" t="s">
        <v>404</v>
      </c>
      <c r="C701" s="21" t="s">
        <v>1328</v>
      </c>
      <c r="D701" s="255" t="s">
        <v>112</v>
      </c>
      <c r="E701" s="21" t="s">
        <v>1329</v>
      </c>
      <c r="F701" s="162" t="str">
        <f>IF(wskakunin_kanri8_KENTIKUSI_NO="","",wskakunin_kanri8_KENTIKUSI_NO)</f>
        <v/>
      </c>
      <c r="H701" s="22"/>
    </row>
    <row r="702" spans="1:8" ht="12">
      <c r="A702" s="63"/>
      <c r="B702" s="74" t="s">
        <v>194</v>
      </c>
      <c r="C702" s="21" t="s">
        <v>1330</v>
      </c>
      <c r="D702" s="162" t="s">
        <v>112</v>
      </c>
      <c r="E702" s="21" t="s">
        <v>1331</v>
      </c>
      <c r="F702" s="162" t="str">
        <f>IF(wskakunin_kanri8_NAME="", "", wskakunin_kanri8_NAME)</f>
        <v/>
      </c>
      <c r="H702" s="22"/>
    </row>
    <row r="703" spans="1:8" ht="12">
      <c r="A703" s="63"/>
      <c r="B703" s="74" t="s">
        <v>416</v>
      </c>
      <c r="C703" s="21" t="s">
        <v>1332</v>
      </c>
      <c r="D703" s="162" t="s">
        <v>112</v>
      </c>
      <c r="E703" s="21" t="s">
        <v>1333</v>
      </c>
      <c r="F703" s="162" t="str">
        <f>IF(wskakunin_kanri8_JIMU__sikaku="", "", wskakunin_kanri8_JIMU__sikaku)</f>
        <v/>
      </c>
      <c r="H703" s="22"/>
    </row>
    <row r="704" spans="1:8" ht="12">
      <c r="A704" s="47"/>
      <c r="B704" s="80" t="s">
        <v>420</v>
      </c>
      <c r="C704" s="21" t="s">
        <v>1334</v>
      </c>
      <c r="D704" s="162" t="s">
        <v>112</v>
      </c>
      <c r="E704" s="21" t="s">
        <v>1335</v>
      </c>
      <c r="F704" s="162" t="str">
        <f>IF(wskakunin_kanri8_JIMU_SIKAKU__label="","",wskakunin_kanri8_JIMU_SIKAKU__label)</f>
        <v/>
      </c>
      <c r="H704" s="22"/>
    </row>
    <row r="705" spans="1:8" ht="12">
      <c r="A705" s="47"/>
      <c r="B705" s="80" t="s">
        <v>423</v>
      </c>
      <c r="C705" s="21" t="s">
        <v>1336</v>
      </c>
      <c r="D705" s="162" t="s">
        <v>112</v>
      </c>
      <c r="E705" s="21" t="s">
        <v>1337</v>
      </c>
      <c r="F705" s="162" t="str">
        <f>IF(wskakunin_kanri8_JIMU_TOUROKU_KIKAN__label="","",wskakunin_kanri8_JIMU_TOUROKU_KIKAN__label)</f>
        <v/>
      </c>
      <c r="H705" s="22"/>
    </row>
    <row r="706" spans="1:8" ht="12">
      <c r="A706" s="47"/>
      <c r="B706" s="80" t="s">
        <v>427</v>
      </c>
      <c r="C706" s="21" t="s">
        <v>1338</v>
      </c>
      <c r="D706" s="255" t="s">
        <v>112</v>
      </c>
      <c r="E706" s="21" t="s">
        <v>1339</v>
      </c>
      <c r="F706" s="162" t="str">
        <f>IF(wskakunin_kanri8_JIMU_NO="","",wskakunin_kanri8_JIMU_NO)</f>
        <v/>
      </c>
      <c r="H706" s="22"/>
    </row>
    <row r="707" spans="1:8" ht="12">
      <c r="A707" s="63"/>
      <c r="B707" s="74" t="s">
        <v>431</v>
      </c>
      <c r="C707" s="21" t="s">
        <v>1340</v>
      </c>
      <c r="D707" s="162" t="s">
        <v>112</v>
      </c>
      <c r="E707" s="21" t="s">
        <v>1341</v>
      </c>
      <c r="F707" s="162" t="str">
        <f>IF(wskakunin_kanri8_JIMU_NAME="", "", wskakunin_kanri8_JIMU_NAME)</f>
        <v/>
      </c>
      <c r="H707" s="22"/>
    </row>
    <row r="708" spans="1:8" ht="12">
      <c r="A708" s="63"/>
      <c r="B708" s="74" t="s">
        <v>205</v>
      </c>
      <c r="C708" s="21" t="s">
        <v>1342</v>
      </c>
      <c r="D708" s="255" t="s">
        <v>112</v>
      </c>
      <c r="E708" s="21" t="s">
        <v>1343</v>
      </c>
      <c r="F708" s="162" t="str">
        <f>IF(wskakunin_kanri8_ZIP="", "", wskakunin_kanri8_ZIP)</f>
        <v/>
      </c>
      <c r="H708" s="22"/>
    </row>
    <row r="709" spans="1:8" ht="12">
      <c r="A709" s="63"/>
      <c r="B709" s="74" t="s">
        <v>438</v>
      </c>
      <c r="C709" s="21" t="s">
        <v>1344</v>
      </c>
      <c r="D709" s="162" t="s">
        <v>112</v>
      </c>
      <c r="E709" s="21" t="s">
        <v>1345</v>
      </c>
      <c r="F709" s="162" t="str">
        <f>IF(wskakunin_kanri8__address="", "", wskakunin_kanri8__address)</f>
        <v/>
      </c>
      <c r="H709" s="22"/>
    </row>
    <row r="710" spans="1:8" ht="12">
      <c r="A710" s="63"/>
      <c r="B710" s="74" t="s">
        <v>214</v>
      </c>
      <c r="C710" s="21" t="s">
        <v>1346</v>
      </c>
      <c r="D710" s="255" t="s">
        <v>112</v>
      </c>
      <c r="E710" s="21" t="s">
        <v>1347</v>
      </c>
      <c r="F710" s="162" t="str">
        <f>IF(wskakunin_kanri8_TEL="", "", wskakunin_kanri8_TEL)</f>
        <v/>
      </c>
      <c r="H710" s="22"/>
    </row>
    <row r="711" spans="1:8" ht="12">
      <c r="A711" s="63"/>
      <c r="B711" s="74" t="s">
        <v>610</v>
      </c>
      <c r="C711" s="21" t="s">
        <v>1348</v>
      </c>
      <c r="D711" s="255" t="s">
        <v>112</v>
      </c>
      <c r="E711" s="21" t="s">
        <v>1349</v>
      </c>
      <c r="F711" s="162" t="str">
        <f>IF(wskakunin_kanri8_DOC="","",wskakunin_kanri8_DOC)</f>
        <v/>
      </c>
      <c r="H711" s="22"/>
    </row>
    <row r="712" spans="1:8" ht="12">
      <c r="A712" s="47"/>
      <c r="B712" s="77"/>
      <c r="H712" s="22"/>
    </row>
    <row r="713" spans="1:8" ht="12">
      <c r="A713" s="148" t="s">
        <v>1350</v>
      </c>
      <c r="B713" s="47" t="s">
        <v>1147</v>
      </c>
      <c r="H713" s="22"/>
    </row>
    <row r="714" spans="1:8" ht="12">
      <c r="A714" s="30"/>
      <c r="B714" s="74" t="s">
        <v>392</v>
      </c>
      <c r="C714" s="21" t="s">
        <v>1351</v>
      </c>
      <c r="D714" s="162" t="s">
        <v>112</v>
      </c>
      <c r="E714" s="21" t="s">
        <v>1352</v>
      </c>
      <c r="F714" s="162" t="str">
        <f>IF(wskakunin_kanri9__sikaku="", "", wskakunin_kanri9__sikaku)</f>
        <v/>
      </c>
      <c r="H714" s="22"/>
    </row>
    <row r="715" spans="1:8" ht="12">
      <c r="A715" s="30"/>
      <c r="B715" s="74" t="s">
        <v>396</v>
      </c>
      <c r="C715" s="21" t="s">
        <v>1353</v>
      </c>
      <c r="D715" s="162" t="s">
        <v>112</v>
      </c>
      <c r="E715" s="21" t="s">
        <v>1354</v>
      </c>
      <c r="F715" s="162" t="str">
        <f>IF(wskakunin_kanri9_SIKAKU__label="", "", wskakunin_kanri9_SIKAKU__label)</f>
        <v/>
      </c>
      <c r="H715" s="22"/>
    </row>
    <row r="716" spans="1:8" ht="12">
      <c r="A716" s="35"/>
      <c r="B716" s="80" t="s">
        <v>400</v>
      </c>
      <c r="C716" s="21" t="s">
        <v>1355</v>
      </c>
      <c r="D716" s="162" t="s">
        <v>112</v>
      </c>
      <c r="E716" s="21" t="s">
        <v>1356</v>
      </c>
      <c r="F716" s="162" t="str">
        <f>IF(wskakunin_kanri9_TOUROKU_KIKAN__label="","",wskakunin_kanri9_TOUROKU_KIKAN__label)</f>
        <v/>
      </c>
      <c r="H716" s="22"/>
    </row>
    <row r="717" spans="1:8" ht="12">
      <c r="A717" s="35"/>
      <c r="B717" s="80" t="s">
        <v>404</v>
      </c>
      <c r="C717" s="21" t="s">
        <v>1357</v>
      </c>
      <c r="D717" s="255" t="s">
        <v>112</v>
      </c>
      <c r="E717" s="21" t="s">
        <v>1358</v>
      </c>
      <c r="F717" s="162" t="str">
        <f>IF(wskakunin_kanri9_KENTIKUSI_NO="","",wskakunin_kanri9_KENTIKUSI_NO)</f>
        <v/>
      </c>
      <c r="H717" s="22"/>
    </row>
    <row r="718" spans="1:8" ht="12">
      <c r="A718" s="63"/>
      <c r="B718" s="74" t="s">
        <v>194</v>
      </c>
      <c r="C718" s="21" t="s">
        <v>1359</v>
      </c>
      <c r="D718" s="162" t="s">
        <v>112</v>
      </c>
      <c r="E718" s="21" t="s">
        <v>1360</v>
      </c>
      <c r="F718" s="162" t="str">
        <f>IF(wskakunin_kanri9_NAME="", "", wskakunin_kanri9_NAME)</f>
        <v/>
      </c>
      <c r="H718" s="22"/>
    </row>
    <row r="719" spans="1:8" ht="12">
      <c r="A719" s="63"/>
      <c r="B719" s="74" t="s">
        <v>416</v>
      </c>
      <c r="C719" s="21" t="s">
        <v>1361</v>
      </c>
      <c r="D719" s="162" t="s">
        <v>112</v>
      </c>
      <c r="E719" s="21" t="s">
        <v>1362</v>
      </c>
      <c r="F719" s="162" t="str">
        <f>IF(wskakunin_kanri9_JIMU__sikaku="", "", wskakunin_kanri9_JIMU__sikaku)</f>
        <v/>
      </c>
      <c r="H719" s="22"/>
    </row>
    <row r="720" spans="1:8" ht="12">
      <c r="A720" s="47"/>
      <c r="B720" s="80" t="s">
        <v>420</v>
      </c>
      <c r="C720" s="21" t="s">
        <v>1363</v>
      </c>
      <c r="D720" s="162" t="s">
        <v>112</v>
      </c>
      <c r="E720" s="21" t="s">
        <v>1364</v>
      </c>
      <c r="F720" s="162" t="str">
        <f>IF(wskakunin_kanri9_JIMU_SIKAKU__label="","",wskakunin_kanri9_JIMU_SIKAKU__label)</f>
        <v/>
      </c>
      <c r="H720" s="22"/>
    </row>
    <row r="721" spans="1:8" ht="12">
      <c r="A721" s="47"/>
      <c r="B721" s="80" t="s">
        <v>423</v>
      </c>
      <c r="C721" s="21" t="s">
        <v>1365</v>
      </c>
      <c r="D721" s="162" t="s">
        <v>112</v>
      </c>
      <c r="E721" s="21" t="s">
        <v>1366</v>
      </c>
      <c r="F721" s="162" t="str">
        <f>IF(wskakunin_kanri9_JIMU_TOUROKU_KIKAN__label="","",wskakunin_kanri9_JIMU_TOUROKU_KIKAN__label)</f>
        <v/>
      </c>
      <c r="H721" s="22"/>
    </row>
    <row r="722" spans="1:8" ht="12">
      <c r="A722" s="47"/>
      <c r="B722" s="80" t="s">
        <v>427</v>
      </c>
      <c r="C722" s="21" t="s">
        <v>1367</v>
      </c>
      <c r="D722" s="255" t="s">
        <v>112</v>
      </c>
      <c r="E722" s="21" t="s">
        <v>1368</v>
      </c>
      <c r="F722" s="162" t="str">
        <f>IF(wskakunin_kanri9_JIMU_NO="","",wskakunin_kanri9_JIMU_NO)</f>
        <v/>
      </c>
      <c r="H722" s="22"/>
    </row>
    <row r="723" spans="1:8" ht="12">
      <c r="A723" s="63"/>
      <c r="B723" s="74" t="s">
        <v>431</v>
      </c>
      <c r="C723" s="21" t="s">
        <v>1369</v>
      </c>
      <c r="D723" s="162" t="s">
        <v>112</v>
      </c>
      <c r="E723" s="21" t="s">
        <v>1370</v>
      </c>
      <c r="F723" s="162" t="str">
        <f>IF(wskakunin_kanri9_JIMU_NAME="", "", wskakunin_kanri9_JIMU_NAME)</f>
        <v/>
      </c>
      <c r="H723" s="22"/>
    </row>
    <row r="724" spans="1:8" ht="12">
      <c r="A724" s="63"/>
      <c r="B724" s="74" t="s">
        <v>205</v>
      </c>
      <c r="C724" s="21" t="s">
        <v>1371</v>
      </c>
      <c r="D724" s="255" t="s">
        <v>112</v>
      </c>
      <c r="E724" s="21" t="s">
        <v>1372</v>
      </c>
      <c r="F724" s="162" t="str">
        <f>IF(wskakunin_kanri9_ZIP="", "", wskakunin_kanri9_ZIP)</f>
        <v/>
      </c>
      <c r="H724" s="22"/>
    </row>
    <row r="725" spans="1:8" ht="12">
      <c r="A725" s="63"/>
      <c r="B725" s="74" t="s">
        <v>438</v>
      </c>
      <c r="C725" s="21" t="s">
        <v>1373</v>
      </c>
      <c r="D725" s="162" t="s">
        <v>112</v>
      </c>
      <c r="E725" s="21" t="s">
        <v>1374</v>
      </c>
      <c r="F725" s="162" t="str">
        <f>IF(wskakunin_kanri9__address="", "", wskakunin_kanri9__address)</f>
        <v/>
      </c>
      <c r="H725" s="22"/>
    </row>
    <row r="726" spans="1:8" ht="12">
      <c r="A726" s="63"/>
      <c r="B726" s="74" t="s">
        <v>214</v>
      </c>
      <c r="C726" s="21" t="s">
        <v>1375</v>
      </c>
      <c r="D726" s="255" t="s">
        <v>112</v>
      </c>
      <c r="E726" s="21" t="s">
        <v>1376</v>
      </c>
      <c r="F726" s="162" t="str">
        <f>IF(wskakunin_kanri9_TEL="", "", wskakunin_kanri9_TEL)</f>
        <v/>
      </c>
      <c r="H726" s="22"/>
    </row>
    <row r="727" spans="1:8" ht="12">
      <c r="A727" s="63"/>
      <c r="B727" s="74" t="s">
        <v>610</v>
      </c>
      <c r="C727" s="21" t="s">
        <v>1377</v>
      </c>
      <c r="D727" s="255" t="s">
        <v>112</v>
      </c>
      <c r="E727" s="21" t="s">
        <v>1378</v>
      </c>
      <c r="F727" s="162" t="str">
        <f>IF(wskakunin_kanri9_DOC="","",wskakunin_kanri9_DOC)</f>
        <v/>
      </c>
      <c r="H727" s="22"/>
    </row>
    <row r="728" spans="1:8" ht="12">
      <c r="A728" s="47"/>
      <c r="B728" s="77"/>
      <c r="H728" s="22"/>
    </row>
    <row r="729" spans="1:8" ht="12">
      <c r="A729" s="148" t="s">
        <v>1379</v>
      </c>
      <c r="B729" s="47" t="s">
        <v>1147</v>
      </c>
      <c r="H729" s="22"/>
    </row>
    <row r="730" spans="1:8" ht="12">
      <c r="A730" s="30"/>
      <c r="B730" s="74" t="s">
        <v>392</v>
      </c>
      <c r="C730" s="21" t="s">
        <v>1380</v>
      </c>
      <c r="D730" s="162" t="s">
        <v>112</v>
      </c>
      <c r="E730" s="21" t="s">
        <v>1381</v>
      </c>
      <c r="F730" s="162" t="str">
        <f>IF(wskakunin_kanri10__sikaku="", "", wskakunin_kanri10__sikaku)</f>
        <v/>
      </c>
      <c r="H730" s="22"/>
    </row>
    <row r="731" spans="1:8" ht="12">
      <c r="A731" s="30"/>
      <c r="B731" s="74" t="s">
        <v>396</v>
      </c>
      <c r="C731" s="21" t="s">
        <v>1382</v>
      </c>
      <c r="D731" s="162" t="s">
        <v>112</v>
      </c>
      <c r="E731" s="21" t="s">
        <v>1383</v>
      </c>
      <c r="F731" s="162" t="str">
        <f>IF(wskakunin_kanri10_SIKAKU__label="", "", wskakunin_kanri10_SIKAKU__label)</f>
        <v/>
      </c>
      <c r="H731" s="22"/>
    </row>
    <row r="732" spans="1:8" ht="12">
      <c r="A732" s="35"/>
      <c r="B732" s="80" t="s">
        <v>400</v>
      </c>
      <c r="C732" s="21" t="s">
        <v>1384</v>
      </c>
      <c r="D732" s="162" t="s">
        <v>112</v>
      </c>
      <c r="E732" s="21" t="s">
        <v>1385</v>
      </c>
      <c r="F732" s="162" t="str">
        <f>IF(wskakunin_kanri10_TOUROKU_KIKAN__label="","",wskakunin_kanri10_TOUROKU_KIKAN__label)</f>
        <v/>
      </c>
      <c r="H732" s="22"/>
    </row>
    <row r="733" spans="1:8" ht="12">
      <c r="A733" s="35"/>
      <c r="B733" s="80" t="s">
        <v>404</v>
      </c>
      <c r="C733" s="21" t="s">
        <v>1386</v>
      </c>
      <c r="D733" s="255" t="s">
        <v>112</v>
      </c>
      <c r="E733" s="21" t="s">
        <v>1387</v>
      </c>
      <c r="F733" s="162" t="str">
        <f>IF(wskakunin_kanri10_KENTIKUSI_NO="","",wskakunin_kanri10_KENTIKUSI_NO)</f>
        <v/>
      </c>
      <c r="H733" s="22"/>
    </row>
    <row r="734" spans="1:8" ht="12">
      <c r="A734" s="63"/>
      <c r="B734" s="74" t="s">
        <v>194</v>
      </c>
      <c r="C734" s="21" t="s">
        <v>1388</v>
      </c>
      <c r="D734" s="162" t="s">
        <v>112</v>
      </c>
      <c r="E734" s="21" t="s">
        <v>1389</v>
      </c>
      <c r="F734" s="162" t="str">
        <f>IF(wskakunin_kanri10_NAME="", "", wskakunin_kanri10_NAME)</f>
        <v/>
      </c>
      <c r="H734" s="22"/>
    </row>
    <row r="735" spans="1:8" ht="12">
      <c r="A735" s="63"/>
      <c r="B735" s="74" t="s">
        <v>416</v>
      </c>
      <c r="C735" s="21" t="s">
        <v>1390</v>
      </c>
      <c r="D735" s="162" t="s">
        <v>112</v>
      </c>
      <c r="E735" s="21" t="s">
        <v>1391</v>
      </c>
      <c r="F735" s="162" t="str">
        <f>IF(wskakunin_kanri10_JIMU__sikaku="", "", wskakunin_kanri10_JIMU__sikaku)</f>
        <v/>
      </c>
      <c r="H735" s="22"/>
    </row>
    <row r="736" spans="1:8" ht="12">
      <c r="A736" s="47"/>
      <c r="B736" s="80" t="s">
        <v>420</v>
      </c>
      <c r="C736" s="21" t="s">
        <v>1392</v>
      </c>
      <c r="D736" s="162" t="s">
        <v>112</v>
      </c>
      <c r="E736" s="21" t="s">
        <v>1393</v>
      </c>
      <c r="F736" s="162" t="str">
        <f>IF(wskakunin_kanri10_JIMU_SIKAKU__label="","",wskakunin_kanri10_JIMU_SIKAKU__label)</f>
        <v/>
      </c>
      <c r="H736" s="22"/>
    </row>
    <row r="737" spans="1:8" ht="12">
      <c r="A737" s="47"/>
      <c r="B737" s="80" t="s">
        <v>423</v>
      </c>
      <c r="C737" s="21" t="s">
        <v>1394</v>
      </c>
      <c r="D737" s="162" t="s">
        <v>112</v>
      </c>
      <c r="E737" s="21" t="s">
        <v>1395</v>
      </c>
      <c r="F737" s="162" t="str">
        <f>IF(wskakunin_kanri10_JIMU_TOUROKU_KIKAN__label="","",wskakunin_kanri10_JIMU_TOUROKU_KIKAN__label)</f>
        <v/>
      </c>
      <c r="H737" s="22"/>
    </row>
    <row r="738" spans="1:8" ht="12">
      <c r="A738" s="47"/>
      <c r="B738" s="80" t="s">
        <v>427</v>
      </c>
      <c r="C738" s="21" t="s">
        <v>1396</v>
      </c>
      <c r="D738" s="255" t="s">
        <v>112</v>
      </c>
      <c r="E738" s="21" t="s">
        <v>1397</v>
      </c>
      <c r="F738" s="162" t="str">
        <f>IF(wskakunin_kanri10_JIMU_NO="","",wskakunin_kanri10_JIMU_NO)</f>
        <v/>
      </c>
      <c r="H738" s="22"/>
    </row>
    <row r="739" spans="1:8" ht="12">
      <c r="A739" s="63"/>
      <c r="B739" s="74" t="s">
        <v>431</v>
      </c>
      <c r="C739" s="21" t="s">
        <v>1398</v>
      </c>
      <c r="D739" s="162" t="s">
        <v>112</v>
      </c>
      <c r="E739" s="21" t="s">
        <v>1399</v>
      </c>
      <c r="F739" s="162" t="str">
        <f>IF(wskakunin_kanri10_JIMU_NAME="", "", wskakunin_kanri10_JIMU_NAME)</f>
        <v/>
      </c>
      <c r="H739" s="22"/>
    </row>
    <row r="740" spans="1:8" ht="12">
      <c r="A740" s="63"/>
      <c r="B740" s="74" t="s">
        <v>205</v>
      </c>
      <c r="C740" s="21" t="s">
        <v>1400</v>
      </c>
      <c r="D740" s="255" t="s">
        <v>112</v>
      </c>
      <c r="E740" s="21" t="s">
        <v>1401</v>
      </c>
      <c r="F740" s="162" t="str">
        <f>IF(wskakunin_kanri10_ZIP="", "", wskakunin_kanri10_ZIP)</f>
        <v/>
      </c>
      <c r="H740" s="22"/>
    </row>
    <row r="741" spans="1:8" ht="12">
      <c r="A741" s="63"/>
      <c r="B741" s="74" t="s">
        <v>438</v>
      </c>
      <c r="C741" s="21" t="s">
        <v>1402</v>
      </c>
      <c r="D741" s="162" t="s">
        <v>112</v>
      </c>
      <c r="E741" s="21" t="s">
        <v>1403</v>
      </c>
      <c r="F741" s="162" t="str">
        <f>IF(wskakunin_kanri10__address="", "", wskakunin_kanri10__address)</f>
        <v/>
      </c>
      <c r="H741" s="22"/>
    </row>
    <row r="742" spans="1:8" ht="12">
      <c r="A742" s="63"/>
      <c r="B742" s="74" t="s">
        <v>214</v>
      </c>
      <c r="C742" s="21" t="s">
        <v>1404</v>
      </c>
      <c r="D742" s="255" t="s">
        <v>112</v>
      </c>
      <c r="E742" s="21" t="s">
        <v>1405</v>
      </c>
      <c r="F742" s="162" t="str">
        <f>IF(wskakunin_kanri10_TEL="", "", wskakunin_kanri10_TEL)</f>
        <v/>
      </c>
      <c r="H742" s="22"/>
    </row>
    <row r="743" spans="1:8" ht="12">
      <c r="A743" s="63"/>
      <c r="B743" s="74" t="s">
        <v>610</v>
      </c>
      <c r="C743" s="21" t="s">
        <v>1406</v>
      </c>
      <c r="D743" s="255" t="s">
        <v>112</v>
      </c>
      <c r="E743" s="21" t="s">
        <v>1407</v>
      </c>
      <c r="F743" s="162" t="str">
        <f>IF(wskakunin_kanri10_DOC="","",wskakunin_kanri10_DOC)</f>
        <v/>
      </c>
      <c r="H743" s="22"/>
    </row>
    <row r="744" spans="1:8" ht="12">
      <c r="A744" s="47"/>
      <c r="B744" s="77"/>
      <c r="H744" s="22"/>
    </row>
    <row r="745" spans="1:8" ht="12">
      <c r="A745" s="148" t="s">
        <v>1408</v>
      </c>
      <c r="B745" s="47" t="s">
        <v>1147</v>
      </c>
      <c r="H745" s="22"/>
    </row>
    <row r="746" spans="1:8" ht="12">
      <c r="A746" s="30"/>
      <c r="B746" s="74" t="s">
        <v>392</v>
      </c>
      <c r="C746" s="21" t="s">
        <v>1409</v>
      </c>
      <c r="D746" s="162" t="s">
        <v>112</v>
      </c>
      <c r="E746" s="21" t="s">
        <v>1410</v>
      </c>
      <c r="F746" s="162" t="str">
        <f>IF(wskakunin_kanri11__sikaku="", "", wskakunin_kanri11__sikaku)</f>
        <v/>
      </c>
      <c r="H746" s="22"/>
    </row>
    <row r="747" spans="1:8" ht="12">
      <c r="A747" s="30"/>
      <c r="B747" s="74" t="s">
        <v>396</v>
      </c>
      <c r="C747" s="21" t="s">
        <v>1411</v>
      </c>
      <c r="D747" s="162" t="s">
        <v>112</v>
      </c>
      <c r="E747" s="21" t="s">
        <v>1412</v>
      </c>
      <c r="F747" s="162" t="str">
        <f>IF(wskakunin_kanri11_SIKAKU__label="", "", wskakunin_kanri11_SIKAKU__label)</f>
        <v/>
      </c>
      <c r="H747" s="22"/>
    </row>
    <row r="748" spans="1:8" ht="12">
      <c r="A748" s="35"/>
      <c r="B748" s="80" t="s">
        <v>400</v>
      </c>
      <c r="C748" s="21" t="s">
        <v>1413</v>
      </c>
      <c r="D748" s="162" t="s">
        <v>112</v>
      </c>
      <c r="E748" s="21" t="s">
        <v>1414</v>
      </c>
      <c r="F748" s="162" t="str">
        <f>IF(wskakunin_kanri11_TOUROKU_KIKAN__label="","",wskakunin_kanri11_TOUROKU_KIKAN__label)</f>
        <v/>
      </c>
      <c r="H748" s="22"/>
    </row>
    <row r="749" spans="1:8" ht="12">
      <c r="A749" s="35"/>
      <c r="B749" s="80" t="s">
        <v>404</v>
      </c>
      <c r="C749" s="21" t="s">
        <v>1415</v>
      </c>
      <c r="D749" s="255" t="s">
        <v>112</v>
      </c>
      <c r="E749" s="21" t="s">
        <v>1416</v>
      </c>
      <c r="F749" s="162" t="str">
        <f>IF(wskakunin_kanri11_KENTIKUSI_NO="","",wskakunin_kanri11_KENTIKUSI_NO)</f>
        <v/>
      </c>
      <c r="H749" s="22"/>
    </row>
    <row r="750" spans="1:8" ht="12">
      <c r="A750" s="63"/>
      <c r="B750" s="74" t="s">
        <v>194</v>
      </c>
      <c r="C750" s="21" t="s">
        <v>1417</v>
      </c>
      <c r="D750" s="162" t="s">
        <v>112</v>
      </c>
      <c r="E750" s="21" t="s">
        <v>1418</v>
      </c>
      <c r="F750" s="162" t="str">
        <f>IF(wskakunin_kanri11_NAME="", "", wskakunin_kanri11_NAME)</f>
        <v/>
      </c>
      <c r="H750" s="22"/>
    </row>
    <row r="751" spans="1:8" ht="12">
      <c r="A751" s="63"/>
      <c r="B751" s="74" t="s">
        <v>416</v>
      </c>
      <c r="C751" s="21" t="s">
        <v>1419</v>
      </c>
      <c r="D751" s="162" t="s">
        <v>112</v>
      </c>
      <c r="E751" s="21" t="s">
        <v>1420</v>
      </c>
      <c r="F751" s="162" t="str">
        <f>IF(wskakunin_kanri11_JIMU__sikaku="", "", wskakunin_kanri11_JIMU__sikaku)</f>
        <v/>
      </c>
      <c r="H751" s="22"/>
    </row>
    <row r="752" spans="1:8" ht="12">
      <c r="A752" s="47"/>
      <c r="B752" s="80" t="s">
        <v>420</v>
      </c>
      <c r="C752" s="21" t="s">
        <v>1421</v>
      </c>
      <c r="D752" s="162" t="s">
        <v>112</v>
      </c>
      <c r="E752" s="21" t="s">
        <v>1422</v>
      </c>
      <c r="F752" s="162" t="str">
        <f>IF(wskakunin_kanri11_JIMU_SIKAKU__label="","",wskakunin_kanri11_JIMU_SIKAKU__label)</f>
        <v/>
      </c>
      <c r="H752" s="22"/>
    </row>
    <row r="753" spans="1:8" ht="12">
      <c r="A753" s="47"/>
      <c r="B753" s="80" t="s">
        <v>423</v>
      </c>
      <c r="C753" s="21" t="s">
        <v>1423</v>
      </c>
      <c r="D753" s="162" t="s">
        <v>112</v>
      </c>
      <c r="E753" s="21" t="s">
        <v>1424</v>
      </c>
      <c r="F753" s="162" t="str">
        <f>IF(wskakunin_kanri11_JIMU_TOUROKU_KIKAN__label="","",wskakunin_kanri11_JIMU_TOUROKU_KIKAN__label)</f>
        <v/>
      </c>
      <c r="H753" s="22"/>
    </row>
    <row r="754" spans="1:8" ht="12">
      <c r="A754" s="47"/>
      <c r="B754" s="80" t="s">
        <v>427</v>
      </c>
      <c r="C754" s="21" t="s">
        <v>1425</v>
      </c>
      <c r="D754" s="255" t="s">
        <v>112</v>
      </c>
      <c r="E754" s="21" t="s">
        <v>1426</v>
      </c>
      <c r="F754" s="162" t="str">
        <f>IF(wskakunin_kanri11_JIMU_NO="","",wskakunin_kanri11_JIMU_NO)</f>
        <v/>
      </c>
      <c r="H754" s="22"/>
    </row>
    <row r="755" spans="1:8" ht="12">
      <c r="A755" s="63"/>
      <c r="B755" s="74" t="s">
        <v>431</v>
      </c>
      <c r="C755" s="21" t="s">
        <v>1427</v>
      </c>
      <c r="D755" s="162" t="s">
        <v>112</v>
      </c>
      <c r="E755" s="21" t="s">
        <v>1428</v>
      </c>
      <c r="F755" s="162" t="str">
        <f>IF(wskakunin_kanri11_JIMU_NAME="", "", wskakunin_kanri11_JIMU_NAME)</f>
        <v/>
      </c>
      <c r="H755" s="22"/>
    </row>
    <row r="756" spans="1:8" ht="12">
      <c r="A756" s="63"/>
      <c r="B756" s="74" t="s">
        <v>205</v>
      </c>
      <c r="C756" s="21" t="s">
        <v>1429</v>
      </c>
      <c r="D756" s="255" t="s">
        <v>112</v>
      </c>
      <c r="E756" s="21" t="s">
        <v>1430</v>
      </c>
      <c r="F756" s="162" t="str">
        <f>IF(wskakunin_kanri11_ZIP="", "", wskakunin_kanri11_ZIP)</f>
        <v/>
      </c>
      <c r="H756" s="22"/>
    </row>
    <row r="757" spans="1:8" ht="12">
      <c r="A757" s="63"/>
      <c r="B757" s="74" t="s">
        <v>438</v>
      </c>
      <c r="C757" s="21" t="s">
        <v>1431</v>
      </c>
      <c r="D757" s="162" t="s">
        <v>112</v>
      </c>
      <c r="E757" s="21" t="s">
        <v>1432</v>
      </c>
      <c r="F757" s="162" t="str">
        <f>IF(wskakunin_kanri11__address="", "", wskakunin_kanri11__address)</f>
        <v/>
      </c>
      <c r="H757" s="22"/>
    </row>
    <row r="758" spans="1:8" ht="12">
      <c r="A758" s="63"/>
      <c r="B758" s="74" t="s">
        <v>214</v>
      </c>
      <c r="C758" s="21" t="s">
        <v>1433</v>
      </c>
      <c r="D758" s="255" t="s">
        <v>112</v>
      </c>
      <c r="E758" s="21" t="s">
        <v>1434</v>
      </c>
      <c r="F758" s="162" t="str">
        <f>IF(wskakunin_kanri11_TEL="", "", wskakunin_kanri11_TEL)</f>
        <v/>
      </c>
      <c r="H758" s="22"/>
    </row>
    <row r="759" spans="1:8" ht="12">
      <c r="A759" s="63"/>
      <c r="B759" s="74" t="s">
        <v>610</v>
      </c>
      <c r="C759" s="21" t="s">
        <v>1435</v>
      </c>
      <c r="D759" s="255" t="s">
        <v>112</v>
      </c>
      <c r="E759" s="21" t="s">
        <v>1436</v>
      </c>
      <c r="F759" s="162" t="str">
        <f>IF(wskakunin_kanri11_DOC="","",wskakunin_kanri11_DOC)</f>
        <v/>
      </c>
      <c r="H759" s="22"/>
    </row>
    <row r="760" spans="1:8" ht="12">
      <c r="A760" s="47"/>
      <c r="B760" s="77"/>
      <c r="G760" s="22"/>
      <c r="H760" s="22"/>
    </row>
    <row r="761" spans="1:8" ht="12">
      <c r="A761" s="148" t="s">
        <v>1437</v>
      </c>
      <c r="B761" s="47" t="s">
        <v>1147</v>
      </c>
      <c r="H761" s="22"/>
    </row>
    <row r="762" spans="1:8" ht="12">
      <c r="A762" s="30"/>
      <c r="B762" s="74" t="s">
        <v>392</v>
      </c>
      <c r="C762" s="21" t="s">
        <v>1438</v>
      </c>
      <c r="D762" s="162" t="s">
        <v>112</v>
      </c>
      <c r="E762" s="21" t="s">
        <v>1439</v>
      </c>
      <c r="F762" s="162" t="str">
        <f>IF(wskakunin_kanri12__sikaku="", "", wskakunin_kanri12__sikaku)</f>
        <v/>
      </c>
      <c r="H762" s="22"/>
    </row>
    <row r="763" spans="1:8" ht="12">
      <c r="A763" s="30"/>
      <c r="B763" s="74" t="s">
        <v>396</v>
      </c>
      <c r="C763" s="21" t="s">
        <v>1440</v>
      </c>
      <c r="D763" s="162" t="s">
        <v>112</v>
      </c>
      <c r="E763" s="21" t="s">
        <v>1441</v>
      </c>
      <c r="F763" s="162" t="str">
        <f>IF(wskakunin_kanri12_SIKAKU__label="", "", wskakunin_kanri12_SIKAKU__label)</f>
        <v/>
      </c>
      <c r="H763" s="22"/>
    </row>
    <row r="764" spans="1:8" ht="12">
      <c r="A764" s="35"/>
      <c r="B764" s="80" t="s">
        <v>400</v>
      </c>
      <c r="C764" s="21" t="s">
        <v>1442</v>
      </c>
      <c r="D764" s="162" t="s">
        <v>112</v>
      </c>
      <c r="E764" s="21" t="s">
        <v>1443</v>
      </c>
      <c r="F764" s="162" t="str">
        <f>IF(wskakunin_kanri12_TOUROKU_KIKAN__label="","",wskakunin_kanri12_TOUROKU_KIKAN__label)</f>
        <v/>
      </c>
      <c r="H764" s="22"/>
    </row>
    <row r="765" spans="1:8" ht="12">
      <c r="A765" s="35"/>
      <c r="B765" s="80" t="s">
        <v>404</v>
      </c>
      <c r="C765" s="21" t="s">
        <v>1444</v>
      </c>
      <c r="D765" s="255" t="s">
        <v>112</v>
      </c>
      <c r="E765" s="21" t="s">
        <v>1445</v>
      </c>
      <c r="F765" s="162" t="str">
        <f>IF(wskakunin_kanri12_KENTIKUSI_NO="","",wskakunin_kanri12_KENTIKUSI_NO)</f>
        <v/>
      </c>
      <c r="H765" s="22"/>
    </row>
    <row r="766" spans="1:8" ht="12">
      <c r="A766" s="63"/>
      <c r="B766" s="74" t="s">
        <v>194</v>
      </c>
      <c r="C766" s="21" t="s">
        <v>1446</v>
      </c>
      <c r="D766" s="162" t="s">
        <v>112</v>
      </c>
      <c r="E766" s="21" t="s">
        <v>1447</v>
      </c>
      <c r="F766" s="162" t="str">
        <f>IF(wskakunin_kanri12_NAME="", "", wskakunin_kanri12_NAME)</f>
        <v/>
      </c>
      <c r="H766" s="22"/>
    </row>
    <row r="767" spans="1:8" ht="12">
      <c r="A767" s="63"/>
      <c r="B767" s="74" t="s">
        <v>416</v>
      </c>
      <c r="C767" s="21" t="s">
        <v>1448</v>
      </c>
      <c r="D767" s="162" t="s">
        <v>112</v>
      </c>
      <c r="E767" s="21" t="s">
        <v>1449</v>
      </c>
      <c r="F767" s="162" t="str">
        <f>IF(wskakunin_kanri12_JIMU__sikaku="", "", wskakunin_kanri12_JIMU__sikaku)</f>
        <v/>
      </c>
      <c r="H767" s="22"/>
    </row>
    <row r="768" spans="1:8" ht="12">
      <c r="A768" s="47"/>
      <c r="B768" s="80" t="s">
        <v>420</v>
      </c>
      <c r="C768" s="21" t="s">
        <v>1450</v>
      </c>
      <c r="D768" s="162" t="s">
        <v>112</v>
      </c>
      <c r="E768" s="21" t="s">
        <v>1451</v>
      </c>
      <c r="F768" s="162" t="str">
        <f>IF(wskakunin_kanri12_JIMU_SIKAKU__label="","",wskakunin_kanri12_JIMU_SIKAKU__label)</f>
        <v/>
      </c>
      <c r="H768" s="22"/>
    </row>
    <row r="769" spans="1:8" ht="12">
      <c r="A769" s="47"/>
      <c r="B769" s="80" t="s">
        <v>423</v>
      </c>
      <c r="C769" s="21" t="s">
        <v>1452</v>
      </c>
      <c r="D769" s="162" t="s">
        <v>112</v>
      </c>
      <c r="E769" s="21" t="s">
        <v>1453</v>
      </c>
      <c r="F769" s="162" t="str">
        <f>IF(wskakunin_kanri12_JIMU_TOUROKU_KIKAN__label="","",wskakunin_kanri12_JIMU_TOUROKU_KIKAN__label)</f>
        <v/>
      </c>
      <c r="H769" s="22"/>
    </row>
    <row r="770" spans="1:8" ht="12">
      <c r="A770" s="47"/>
      <c r="B770" s="80" t="s">
        <v>427</v>
      </c>
      <c r="C770" s="21" t="s">
        <v>1454</v>
      </c>
      <c r="D770" s="255" t="s">
        <v>112</v>
      </c>
      <c r="E770" s="21" t="s">
        <v>1455</v>
      </c>
      <c r="F770" s="162" t="str">
        <f>IF(wskakunin_kanri12_JIMU_NO="","",wskakunin_kanri12_JIMU_NO)</f>
        <v/>
      </c>
      <c r="H770" s="22"/>
    </row>
    <row r="771" spans="1:8" ht="12">
      <c r="A771" s="63"/>
      <c r="B771" s="74" t="s">
        <v>431</v>
      </c>
      <c r="C771" s="21" t="s">
        <v>1456</v>
      </c>
      <c r="D771" s="162" t="s">
        <v>112</v>
      </c>
      <c r="E771" s="21" t="s">
        <v>1457</v>
      </c>
      <c r="F771" s="162" t="str">
        <f>IF(wskakunin_kanri12_JIMU_NAME="", "", wskakunin_kanri12_JIMU_NAME)</f>
        <v/>
      </c>
      <c r="H771" s="22"/>
    </row>
    <row r="772" spans="1:8" ht="12">
      <c r="A772" s="63"/>
      <c r="B772" s="74" t="s">
        <v>205</v>
      </c>
      <c r="C772" s="21" t="s">
        <v>1458</v>
      </c>
      <c r="D772" s="255" t="s">
        <v>112</v>
      </c>
      <c r="E772" s="21" t="s">
        <v>1459</v>
      </c>
      <c r="F772" s="162" t="str">
        <f>IF(wskakunin_kanri12_ZIP="", "", wskakunin_kanri12_ZIP)</f>
        <v/>
      </c>
      <c r="H772" s="22"/>
    </row>
    <row r="773" spans="1:8" ht="12">
      <c r="A773" s="63"/>
      <c r="B773" s="74" t="s">
        <v>438</v>
      </c>
      <c r="C773" s="21" t="s">
        <v>1460</v>
      </c>
      <c r="D773" s="162" t="s">
        <v>112</v>
      </c>
      <c r="E773" s="21" t="s">
        <v>1461</v>
      </c>
      <c r="F773" s="162" t="str">
        <f>IF(wskakunin_kanri12__address="", "", wskakunin_kanri12__address)</f>
        <v/>
      </c>
      <c r="H773" s="22"/>
    </row>
    <row r="774" spans="1:8" ht="12">
      <c r="A774" s="63"/>
      <c r="B774" s="74" t="s">
        <v>214</v>
      </c>
      <c r="C774" s="21" t="s">
        <v>1462</v>
      </c>
      <c r="D774" s="255" t="s">
        <v>112</v>
      </c>
      <c r="E774" s="21" t="s">
        <v>1463</v>
      </c>
      <c r="F774" s="162" t="str">
        <f>IF(wskakunin_kanri12_TEL="", "", wskakunin_kanri12_TEL)</f>
        <v/>
      </c>
      <c r="H774" s="22"/>
    </row>
    <row r="775" spans="1:8" ht="12">
      <c r="A775" s="63"/>
      <c r="B775" s="74" t="s">
        <v>610</v>
      </c>
      <c r="C775" s="21" t="s">
        <v>1464</v>
      </c>
      <c r="D775" s="255" t="s">
        <v>112</v>
      </c>
      <c r="E775" s="21" t="s">
        <v>1465</v>
      </c>
      <c r="F775" s="162" t="str">
        <f>IF(wskakunin_kanri12_DOC="","",wskakunin_kanri12_DOC)</f>
        <v/>
      </c>
      <c r="H775" s="22"/>
    </row>
    <row r="776" spans="1:8" ht="12">
      <c r="A776" s="47"/>
      <c r="B776" s="77"/>
      <c r="G776" s="22"/>
      <c r="H776" s="22"/>
    </row>
    <row r="777" spans="1:8" ht="12">
      <c r="A777" s="55" t="s">
        <v>1466</v>
      </c>
      <c r="B777" s="56"/>
      <c r="D777" s="22"/>
      <c r="G777" s="22"/>
      <c r="H777" s="22"/>
    </row>
    <row r="778" spans="1:8" ht="12">
      <c r="A778" s="64"/>
      <c r="B778" s="79" t="s">
        <v>194</v>
      </c>
      <c r="C778" s="21" t="s">
        <v>1467</v>
      </c>
      <c r="D778" s="261" t="s">
        <v>1468</v>
      </c>
      <c r="E778" s="21" t="s">
        <v>1469</v>
      </c>
      <c r="F778" s="261" t="str">
        <f>IF(wskakunin_sekou1_NAME="", "", wskakunin_sekou1_NAME)</f>
        <v>代表取締役　波夛野　賢</v>
      </c>
      <c r="G778" s="22"/>
      <c r="H778" s="22"/>
    </row>
    <row r="779" spans="1:8" ht="12">
      <c r="A779" s="64"/>
      <c r="B779" s="79" t="s">
        <v>1470</v>
      </c>
      <c r="C779" s="21" t="s">
        <v>1471</v>
      </c>
      <c r="D779" s="261" t="s">
        <v>1472</v>
      </c>
      <c r="E779" s="21" t="s">
        <v>1473</v>
      </c>
      <c r="F779" s="261" t="str">
        <f>IF(wskakunin_sekou1_SEKOU__sikaku="", "", wskakunin_sekou1_SEKOU__sikaku)</f>
        <v>京都府知事第般-3　1675号</v>
      </c>
      <c r="G779" s="22"/>
      <c r="H779" s="22"/>
    </row>
    <row r="780" spans="1:8" ht="12">
      <c r="A780" s="64"/>
      <c r="B780" s="79" t="s">
        <v>1474</v>
      </c>
      <c r="C780" s="21" t="s">
        <v>1475</v>
      </c>
      <c r="D780" s="261" t="s">
        <v>1476</v>
      </c>
      <c r="E780" s="21" t="s">
        <v>1477</v>
      </c>
      <c r="F780" s="261" t="str">
        <f>IF(wskakunin_sekou1_SEKOU_SIKAKU__label="", "",wskakunin_sekou1_SEKOU_SIKAKU__label)</f>
        <v>京都府知事</v>
      </c>
      <c r="G780" s="22"/>
      <c r="H780" s="22"/>
    </row>
    <row r="781" spans="1:8" ht="12">
      <c r="A781" s="64"/>
      <c r="B781" s="79" t="s">
        <v>1478</v>
      </c>
      <c r="C781" s="21" t="s">
        <v>1479</v>
      </c>
      <c r="D781" s="263" t="s">
        <v>1480</v>
      </c>
      <c r="E781" s="21" t="s">
        <v>1481</v>
      </c>
      <c r="F781" s="261" t="str">
        <f>IF(wskakunin_sekou1_SEKOU_NO="","",wskakunin_sekou1_SEKOU_NO)</f>
        <v>般-3　1675</v>
      </c>
      <c r="G781" s="22"/>
      <c r="H781" s="22"/>
    </row>
    <row r="782" spans="1:8" ht="12">
      <c r="A782" s="64"/>
      <c r="B782" s="79" t="s">
        <v>1482</v>
      </c>
      <c r="C782" s="21" t="s">
        <v>1483</v>
      </c>
      <c r="D782" s="261" t="s">
        <v>1484</v>
      </c>
      <c r="E782" s="21" t="s">
        <v>1485</v>
      </c>
      <c r="F782" s="261" t="str">
        <f>IF(wskakunin_sekou1_JIMU_NAME="", "", wskakunin_sekou1_JIMU_NAME)</f>
        <v>四辻木材興行株式会社</v>
      </c>
      <c r="G782" s="22"/>
      <c r="H782" s="22"/>
    </row>
    <row r="783" spans="1:8" ht="12">
      <c r="A783" s="64"/>
      <c r="B783" s="79" t="s">
        <v>205</v>
      </c>
      <c r="C783" s="21" t="s">
        <v>1486</v>
      </c>
      <c r="D783" s="263" t="s">
        <v>1487</v>
      </c>
      <c r="E783" s="21" t="s">
        <v>1488</v>
      </c>
      <c r="F783" s="261" t="str">
        <f>IF(wskakunin_sekou1_ZIP="", "", wskakunin_sekou1_ZIP)</f>
        <v>617-0006</v>
      </c>
      <c r="G783" s="22"/>
      <c r="H783" s="22"/>
    </row>
    <row r="784" spans="1:8" ht="12">
      <c r="A784" s="64"/>
      <c r="B784" s="79" t="s">
        <v>438</v>
      </c>
      <c r="C784" s="21" t="s">
        <v>1489</v>
      </c>
      <c r="D784" s="261" t="s">
        <v>1490</v>
      </c>
      <c r="E784" s="21" t="s">
        <v>1491</v>
      </c>
      <c r="F784" s="261" t="str">
        <f>IF(wskakunin_sekou1__address="", "", wskakunin_sekou1__address)</f>
        <v>京都府向日市上植野町落掘17-1</v>
      </c>
      <c r="G784" s="22"/>
      <c r="H784" s="22"/>
    </row>
    <row r="785" spans="1:8" ht="12">
      <c r="A785" s="64"/>
      <c r="B785" s="79" t="s">
        <v>214</v>
      </c>
      <c r="C785" s="21" t="s">
        <v>1492</v>
      </c>
      <c r="D785" s="263" t="s">
        <v>1493</v>
      </c>
      <c r="E785" s="21" t="s">
        <v>1494</v>
      </c>
      <c r="F785" s="261" t="str">
        <f>IF(wskakunin_sekou1_TEL="", "", wskakunin_sekou1_TEL)</f>
        <v>075-931-1191</v>
      </c>
      <c r="G785" s="22"/>
      <c r="H785" s="22"/>
    </row>
    <row r="786" spans="1:8" ht="12">
      <c r="A786" s="295"/>
      <c r="B786" s="307"/>
      <c r="E786" s="21" t="s">
        <v>1495</v>
      </c>
      <c r="F786" s="261" t="str">
        <f>IF(wskakunin_sekou1_TEL="","（　　　　）　　　-","（"&amp;LEFT(cst_wskakunin_sekou1_TEL,FIND("-",cst_wskakunin_sekou1_TEL)-1)&amp;"）　"&amp;MID(cst_wskakunin_sekou1_TEL,FIND("-",cst_wskakunin_sekou1_TEL)+1,FIND("-",cst_wskakunin_sekou1_TEL,FIND("-",cst_wskakunin_sekou1_TEL)+1)-FIND("-",cst_wskakunin_sekou1_TEL)-1)&amp;"-"&amp;RIGHT(cst_wskakunin_sekou1_TEL,LEN(cst_wskakunin_sekou1_TEL)-FIND("-",cst_wskakunin_sekou1_TEL,FIND("-",cst_wskakunin_sekou1_TEL)+1)))</f>
        <v>（075）　931-1191</v>
      </c>
      <c r="G786" s="22"/>
      <c r="H786" s="22"/>
    </row>
    <row r="787" spans="1:8" ht="12">
      <c r="A787" s="64"/>
      <c r="B787" s="79" t="s">
        <v>1496</v>
      </c>
      <c r="D787" s="37"/>
      <c r="E787" s="21" t="s">
        <v>1497</v>
      </c>
      <c r="F787" s="261">
        <f>IF(AND(cst_wskakunin_sekou1_NAME="",cst_wskakunin_sekou1_SEKOU__sikaku="",cst_wskakunin_sekou1_SEKOU_SIKAKU="",cst_wskakunin_sekou1_SEKOU_NO="",cst_wskakunin_sekou1_JIMU_NAME="",cst_wskakunin_sekou1_ZIP="",cst_wskakunin_sekou1__address="",cst_wskakunin_sekou1_TEL=""),1,2)</f>
        <v>2</v>
      </c>
      <c r="G787" s="22" t="s">
        <v>1498</v>
      </c>
      <c r="H787" s="22"/>
    </row>
    <row r="788" spans="1:8" ht="12">
      <c r="A788" s="55" t="s">
        <v>1499</v>
      </c>
      <c r="B788" s="56"/>
      <c r="D788" s="37"/>
      <c r="F788" s="22"/>
      <c r="G788" s="22"/>
      <c r="H788" s="22"/>
    </row>
    <row r="789" spans="1:8" ht="12">
      <c r="A789" s="64"/>
      <c r="B789" s="79" t="s">
        <v>194</v>
      </c>
      <c r="C789" s="21" t="s">
        <v>1500</v>
      </c>
      <c r="D789" s="261" t="s">
        <v>112</v>
      </c>
      <c r="E789" s="21" t="s">
        <v>1501</v>
      </c>
      <c r="F789" s="261" t="str">
        <f>IF(wskakunin_sekou2_NAME="", "", wskakunin_sekou2_NAME)</f>
        <v/>
      </c>
      <c r="H789" s="22"/>
    </row>
    <row r="790" spans="1:8" ht="12">
      <c r="A790" s="64"/>
      <c r="B790" s="79" t="s">
        <v>1470</v>
      </c>
      <c r="C790" s="21" t="s">
        <v>1502</v>
      </c>
      <c r="D790" s="261" t="s">
        <v>112</v>
      </c>
      <c r="E790" s="21" t="s">
        <v>1503</v>
      </c>
      <c r="F790" s="261" t="str">
        <f>IF(wskakunin_sekou2_SEKOU__sikaku="", "", wskakunin_sekou2_SEKOU__sikaku)</f>
        <v/>
      </c>
      <c r="H790" s="22"/>
    </row>
    <row r="791" spans="1:8" ht="12">
      <c r="A791" s="64"/>
      <c r="B791" s="79" t="s">
        <v>1474</v>
      </c>
      <c r="C791" s="21" t="s">
        <v>1504</v>
      </c>
      <c r="D791" s="261" t="s">
        <v>112</v>
      </c>
      <c r="E791" s="21" t="s">
        <v>1505</v>
      </c>
      <c r="F791" s="261" t="str">
        <f>IF(wskakunin_sekou2_SEKOU_SIKAKU__label="", "",wskakunin_sekou2_SEKOU_SIKAKU__label)</f>
        <v/>
      </c>
      <c r="H791" s="22"/>
    </row>
    <row r="792" spans="1:8" ht="12">
      <c r="A792" s="64"/>
      <c r="B792" s="79" t="s">
        <v>1478</v>
      </c>
      <c r="C792" s="21" t="s">
        <v>1506</v>
      </c>
      <c r="D792" s="263" t="s">
        <v>112</v>
      </c>
      <c r="E792" s="21" t="s">
        <v>1507</v>
      </c>
      <c r="F792" s="261" t="str">
        <f>IF(wskakunin_sekou2_SEKOU_NO="","",wskakunin_sekou2_SEKOU_NO)</f>
        <v/>
      </c>
      <c r="H792" s="22"/>
    </row>
    <row r="793" spans="1:8" ht="12">
      <c r="A793" s="64"/>
      <c r="B793" s="79" t="s">
        <v>1482</v>
      </c>
      <c r="C793" s="21" t="s">
        <v>1508</v>
      </c>
      <c r="D793" s="261" t="s">
        <v>112</v>
      </c>
      <c r="E793" s="21" t="s">
        <v>1509</v>
      </c>
      <c r="F793" s="261" t="str">
        <f>IF(wskakunin_sekou2_JIMU_NAME="", "", wskakunin_sekou2_JIMU_NAME)</f>
        <v/>
      </c>
      <c r="H793" s="22"/>
    </row>
    <row r="794" spans="1:8" ht="12">
      <c r="A794" s="64"/>
      <c r="B794" s="79" t="s">
        <v>205</v>
      </c>
      <c r="C794" s="21" t="s">
        <v>1510</v>
      </c>
      <c r="D794" s="263" t="s">
        <v>112</v>
      </c>
      <c r="E794" s="21" t="s">
        <v>1511</v>
      </c>
      <c r="F794" s="261" t="str">
        <f>IF(wskakunin_sekou2_ZIP="", "", wskakunin_sekou2_ZIP)</f>
        <v/>
      </c>
      <c r="H794" s="22"/>
    </row>
    <row r="795" spans="1:8" ht="12">
      <c r="A795" s="64"/>
      <c r="B795" s="79" t="s">
        <v>438</v>
      </c>
      <c r="C795" s="21" t="s">
        <v>1512</v>
      </c>
      <c r="D795" s="261" t="s">
        <v>112</v>
      </c>
      <c r="E795" s="21" t="s">
        <v>1513</v>
      </c>
      <c r="F795" s="261" t="str">
        <f>IF(wskakunin_sekou2__address="", "", wskakunin_sekou2__address)</f>
        <v/>
      </c>
      <c r="H795" s="22"/>
    </row>
    <row r="796" spans="1:8" ht="12">
      <c r="A796" s="64"/>
      <c r="B796" s="79" t="s">
        <v>214</v>
      </c>
      <c r="C796" s="21" t="s">
        <v>1514</v>
      </c>
      <c r="D796" s="263" t="s">
        <v>112</v>
      </c>
      <c r="E796" s="21" t="s">
        <v>1515</v>
      </c>
      <c r="F796" s="261" t="str">
        <f>IF(wskakunin_sekou2_TEL="", "", wskakunin_sekou2_TEL)</f>
        <v/>
      </c>
      <c r="H796" s="22"/>
    </row>
    <row r="797" spans="1:8" ht="12">
      <c r="A797" s="64"/>
      <c r="B797" s="79"/>
      <c r="D797" s="37"/>
      <c r="F797" s="22"/>
      <c r="H797" s="22"/>
    </row>
    <row r="798" spans="1:8" ht="12">
      <c r="A798" s="55" t="s">
        <v>1516</v>
      </c>
      <c r="B798" s="56"/>
      <c r="D798" s="37"/>
      <c r="F798" s="22"/>
      <c r="H798" s="22"/>
    </row>
    <row r="799" spans="1:8" ht="12">
      <c r="A799" s="64"/>
      <c r="B799" s="79" t="s">
        <v>194</v>
      </c>
      <c r="C799" s="21" t="s">
        <v>1517</v>
      </c>
      <c r="D799" s="261" t="s">
        <v>112</v>
      </c>
      <c r="E799" s="21" t="s">
        <v>1518</v>
      </c>
      <c r="F799" s="261" t="str">
        <f>IF(wskakunin_sekou3_NAME="", "", wskakunin_sekou3_NAME)</f>
        <v/>
      </c>
      <c r="H799" s="22"/>
    </row>
    <row r="800" spans="1:8" ht="12">
      <c r="A800" s="64"/>
      <c r="B800" s="79" t="s">
        <v>1470</v>
      </c>
      <c r="C800" s="21" t="s">
        <v>1519</v>
      </c>
      <c r="D800" s="261" t="s">
        <v>112</v>
      </c>
      <c r="E800" s="21" t="s">
        <v>1520</v>
      </c>
      <c r="F800" s="261" t="str">
        <f>IF(wskakunin_sekou3_SEKOU__sikaku="", "", wskakunin_sekou3_SEKOU__sikaku)</f>
        <v/>
      </c>
      <c r="H800" s="22"/>
    </row>
    <row r="801" spans="1:8" ht="12">
      <c r="A801" s="64"/>
      <c r="B801" s="79" t="s">
        <v>1474</v>
      </c>
      <c r="C801" s="21" t="s">
        <v>1521</v>
      </c>
      <c r="D801" s="261" t="s">
        <v>112</v>
      </c>
      <c r="E801" s="21" t="s">
        <v>1522</v>
      </c>
      <c r="F801" s="261" t="str">
        <f>IF(wskakunin_sekou3_SEKOU_SIKAKU__label="", "",wskakunin_sekou3_SEKOU_SIKAKU__label)</f>
        <v/>
      </c>
      <c r="H801" s="22"/>
    </row>
    <row r="802" spans="1:8" ht="12">
      <c r="A802" s="64"/>
      <c r="B802" s="79" t="s">
        <v>1478</v>
      </c>
      <c r="C802" s="21" t="s">
        <v>1523</v>
      </c>
      <c r="D802" s="263" t="s">
        <v>112</v>
      </c>
      <c r="E802" s="21" t="s">
        <v>1524</v>
      </c>
      <c r="F802" s="261" t="str">
        <f>IF(wskakunin_sekou3_SEKOU_NO="","",wskakunin_sekou3_SEKOU_NO)</f>
        <v/>
      </c>
      <c r="H802" s="22"/>
    </row>
    <row r="803" spans="1:8" ht="12">
      <c r="A803" s="64"/>
      <c r="B803" s="79" t="s">
        <v>1482</v>
      </c>
      <c r="C803" s="21" t="s">
        <v>1525</v>
      </c>
      <c r="D803" s="261" t="s">
        <v>112</v>
      </c>
      <c r="E803" s="21" t="s">
        <v>1526</v>
      </c>
      <c r="F803" s="261" t="str">
        <f>IF(wskakunin_sekou3_JIMU_NAME="", "", wskakunin_sekou3_JIMU_NAME)</f>
        <v/>
      </c>
      <c r="H803" s="22"/>
    </row>
    <row r="804" spans="1:8" ht="12">
      <c r="A804" s="64"/>
      <c r="B804" s="79" t="s">
        <v>205</v>
      </c>
      <c r="C804" s="21" t="s">
        <v>1527</v>
      </c>
      <c r="D804" s="263" t="s">
        <v>112</v>
      </c>
      <c r="E804" s="21" t="s">
        <v>1528</v>
      </c>
      <c r="F804" s="261" t="str">
        <f>IF(wskakunin_sekou3_ZIP="", "", wskakunin_sekou3_ZIP)</f>
        <v/>
      </c>
      <c r="H804" s="22"/>
    </row>
    <row r="805" spans="1:8" ht="12">
      <c r="A805" s="64"/>
      <c r="B805" s="79" t="s">
        <v>438</v>
      </c>
      <c r="C805" s="21" t="s">
        <v>1529</v>
      </c>
      <c r="D805" s="261" t="s">
        <v>112</v>
      </c>
      <c r="E805" s="21" t="s">
        <v>1530</v>
      </c>
      <c r="F805" s="261" t="str">
        <f>IF(wskakunin_sekou3__address="", "", wskakunin_sekou3__address)</f>
        <v/>
      </c>
      <c r="H805" s="22"/>
    </row>
    <row r="806" spans="1:8" ht="12">
      <c r="A806" s="64"/>
      <c r="B806" s="79" t="s">
        <v>214</v>
      </c>
      <c r="C806" s="21" t="s">
        <v>1531</v>
      </c>
      <c r="D806" s="263" t="s">
        <v>112</v>
      </c>
      <c r="E806" s="21" t="s">
        <v>1532</v>
      </c>
      <c r="F806" s="261" t="str">
        <f>IF(wskakunin_sekou3_TEL="", "", wskakunin_sekou3_TEL)</f>
        <v/>
      </c>
      <c r="H806" s="22"/>
    </row>
    <row r="807" spans="1:8" ht="12">
      <c r="A807" s="64"/>
      <c r="B807" s="79"/>
      <c r="D807" s="37"/>
      <c r="F807" s="22"/>
      <c r="H807" s="22"/>
    </row>
    <row r="808" spans="1:8" ht="12">
      <c r="A808" s="55" t="s">
        <v>1533</v>
      </c>
      <c r="B808" s="56"/>
      <c r="D808" s="37"/>
      <c r="F808" s="22"/>
      <c r="H808" s="22"/>
    </row>
    <row r="809" spans="1:8" ht="12">
      <c r="A809" s="64"/>
      <c r="B809" s="79" t="s">
        <v>194</v>
      </c>
      <c r="C809" s="21" t="s">
        <v>1534</v>
      </c>
      <c r="D809" s="261" t="s">
        <v>112</v>
      </c>
      <c r="E809" s="21" t="s">
        <v>1535</v>
      </c>
      <c r="F809" s="261" t="str">
        <f>IF(wskakunin_sekou4_NAME="", "", wskakunin_sekou4_NAME)</f>
        <v/>
      </c>
      <c r="H809" s="22"/>
    </row>
    <row r="810" spans="1:8" ht="12">
      <c r="A810" s="64"/>
      <c r="B810" s="79" t="s">
        <v>1470</v>
      </c>
      <c r="C810" s="21" t="s">
        <v>1536</v>
      </c>
      <c r="D810" s="261" t="s">
        <v>112</v>
      </c>
      <c r="E810" s="21" t="s">
        <v>1537</v>
      </c>
      <c r="F810" s="261" t="str">
        <f>IF(wskakunin_sekou4_SEKOU__sikaku="", "", wskakunin_sekou4_SEKOU__sikaku)</f>
        <v/>
      </c>
      <c r="H810" s="22"/>
    </row>
    <row r="811" spans="1:8" ht="12">
      <c r="A811" s="64"/>
      <c r="B811" s="79" t="s">
        <v>1474</v>
      </c>
      <c r="C811" s="21" t="s">
        <v>1538</v>
      </c>
      <c r="D811" s="261" t="s">
        <v>112</v>
      </c>
      <c r="E811" s="21" t="s">
        <v>1539</v>
      </c>
      <c r="F811" s="261" t="str">
        <f>IF(wskakunin_sekou4_SEKOU_SIKAKU__label="", "",wskakunin_sekou4_SEKOU_SIKAKU__label)</f>
        <v/>
      </c>
      <c r="H811" s="22"/>
    </row>
    <row r="812" spans="1:8" ht="12">
      <c r="A812" s="64"/>
      <c r="B812" s="79" t="s">
        <v>1478</v>
      </c>
      <c r="C812" s="21" t="s">
        <v>1540</v>
      </c>
      <c r="D812" s="263" t="s">
        <v>112</v>
      </c>
      <c r="E812" s="21" t="s">
        <v>1541</v>
      </c>
      <c r="F812" s="261" t="str">
        <f>IF(wskakunin_sekou4_SEKOU_NO="","",wskakunin_sekou4_SEKOU_NO)</f>
        <v/>
      </c>
      <c r="H812" s="22"/>
    </row>
    <row r="813" spans="1:8" ht="12">
      <c r="A813" s="64"/>
      <c r="B813" s="79" t="s">
        <v>1482</v>
      </c>
      <c r="C813" s="21" t="s">
        <v>1542</v>
      </c>
      <c r="D813" s="261" t="s">
        <v>112</v>
      </c>
      <c r="E813" s="21" t="s">
        <v>1543</v>
      </c>
      <c r="F813" s="261" t="str">
        <f>IF(wskakunin_sekou4_JIMU_NAME="", "", wskakunin_sekou4_JIMU_NAME)</f>
        <v/>
      </c>
      <c r="H813" s="22"/>
    </row>
    <row r="814" spans="1:8" ht="12">
      <c r="A814" s="64"/>
      <c r="B814" s="79" t="s">
        <v>205</v>
      </c>
      <c r="C814" s="21" t="s">
        <v>1544</v>
      </c>
      <c r="D814" s="263" t="s">
        <v>112</v>
      </c>
      <c r="E814" s="21" t="s">
        <v>1545</v>
      </c>
      <c r="F814" s="261" t="str">
        <f>IF(wskakunin_sekou4_ZIP="", "", wskakunin_sekou4_ZIP)</f>
        <v/>
      </c>
      <c r="H814" s="22"/>
    </row>
    <row r="815" spans="1:8" ht="12">
      <c r="A815" s="64"/>
      <c r="B815" s="79" t="s">
        <v>438</v>
      </c>
      <c r="C815" s="21" t="s">
        <v>1546</v>
      </c>
      <c r="D815" s="261" t="s">
        <v>112</v>
      </c>
      <c r="E815" s="21" t="s">
        <v>1547</v>
      </c>
      <c r="F815" s="261" t="str">
        <f>IF(wskakunin_sekou4__address="", "", wskakunin_sekou4__address)</f>
        <v/>
      </c>
      <c r="H815" s="22"/>
    </row>
    <row r="816" spans="1:8" ht="12">
      <c r="A816" s="64"/>
      <c r="B816" s="79" t="s">
        <v>214</v>
      </c>
      <c r="C816" s="21" t="s">
        <v>1548</v>
      </c>
      <c r="D816" s="263" t="s">
        <v>112</v>
      </c>
      <c r="E816" s="21" t="s">
        <v>1549</v>
      </c>
      <c r="F816" s="261" t="str">
        <f>IF(wskakunin_sekou4_TEL="", "", wskakunin_sekou4_TEL)</f>
        <v/>
      </c>
      <c r="H816" s="22"/>
    </row>
    <row r="817" spans="1:8" ht="12">
      <c r="A817" s="64"/>
      <c r="B817" s="79"/>
      <c r="D817" s="37"/>
      <c r="F817" s="22"/>
      <c r="H817" s="22"/>
    </row>
    <row r="818" spans="1:8" ht="12">
      <c r="A818" s="55" t="s">
        <v>1550</v>
      </c>
      <c r="B818" s="56"/>
      <c r="D818" s="37"/>
      <c r="F818" s="22"/>
      <c r="H818" s="22"/>
    </row>
    <row r="819" spans="1:8" ht="12">
      <c r="A819" s="64"/>
      <c r="B819" s="79" t="s">
        <v>194</v>
      </c>
      <c r="C819" s="21" t="s">
        <v>1551</v>
      </c>
      <c r="D819" s="261" t="s">
        <v>112</v>
      </c>
      <c r="E819" s="21" t="s">
        <v>1552</v>
      </c>
      <c r="F819" s="261" t="str">
        <f>IF(wskakunin_sekou5_NAME="", "", wskakunin_sekou5_NAME)</f>
        <v/>
      </c>
      <c r="H819" s="22"/>
    </row>
    <row r="820" spans="1:8" ht="12">
      <c r="A820" s="64"/>
      <c r="B820" s="79" t="s">
        <v>1470</v>
      </c>
      <c r="C820" s="21" t="s">
        <v>1553</v>
      </c>
      <c r="D820" s="261" t="s">
        <v>112</v>
      </c>
      <c r="E820" s="21" t="s">
        <v>1554</v>
      </c>
      <c r="F820" s="261" t="str">
        <f>IF(wskakunin_sekou5_SEKOU__sikaku="", "", wskakunin_sekou5_SEKOU__sikaku)</f>
        <v/>
      </c>
      <c r="H820" s="22"/>
    </row>
    <row r="821" spans="1:8" ht="12">
      <c r="A821" s="64"/>
      <c r="B821" s="79" t="s">
        <v>1474</v>
      </c>
      <c r="C821" s="21" t="s">
        <v>1555</v>
      </c>
      <c r="D821" s="261" t="s">
        <v>112</v>
      </c>
      <c r="E821" s="21" t="s">
        <v>1556</v>
      </c>
      <c r="F821" s="261" t="str">
        <f>IF(wskakunin_sekou5_SEKOU_SIKAKU__label="", "",wskakunin_sekou5_SEKOU_SIKAKU__label)</f>
        <v/>
      </c>
      <c r="H821" s="22"/>
    </row>
    <row r="822" spans="1:8" ht="12">
      <c r="A822" s="64"/>
      <c r="B822" s="79" t="s">
        <v>1478</v>
      </c>
      <c r="C822" s="21" t="s">
        <v>1557</v>
      </c>
      <c r="D822" s="263" t="s">
        <v>112</v>
      </c>
      <c r="E822" s="21" t="s">
        <v>1558</v>
      </c>
      <c r="F822" s="261" t="str">
        <f>IF(wskakunin_sekou5_SEKOU_NO="","",wskakunin_sekou5_SEKOU_NO)</f>
        <v/>
      </c>
      <c r="H822" s="22"/>
    </row>
    <row r="823" spans="1:8" ht="12">
      <c r="A823" s="64"/>
      <c r="B823" s="79" t="s">
        <v>1482</v>
      </c>
      <c r="C823" s="21" t="s">
        <v>1559</v>
      </c>
      <c r="D823" s="261" t="s">
        <v>112</v>
      </c>
      <c r="E823" s="21" t="s">
        <v>1560</v>
      </c>
      <c r="F823" s="261" t="str">
        <f>IF(wskakunin_sekou5_JIMU_NAME="", "", wskakunin_sekou5_JIMU_NAME)</f>
        <v/>
      </c>
      <c r="H823" s="22"/>
    </row>
    <row r="824" spans="1:8" ht="12">
      <c r="A824" s="64"/>
      <c r="B824" s="79" t="s">
        <v>205</v>
      </c>
      <c r="C824" s="21" t="s">
        <v>1561</v>
      </c>
      <c r="D824" s="263" t="s">
        <v>112</v>
      </c>
      <c r="E824" s="21" t="s">
        <v>1562</v>
      </c>
      <c r="F824" s="261" t="str">
        <f>IF(wskakunin_sekou5_ZIP="", "", wskakunin_sekou5_ZIP)</f>
        <v/>
      </c>
      <c r="H824" s="22"/>
    </row>
    <row r="825" spans="1:8" ht="12">
      <c r="A825" s="64"/>
      <c r="B825" s="79" t="s">
        <v>438</v>
      </c>
      <c r="C825" s="21" t="s">
        <v>1563</v>
      </c>
      <c r="D825" s="261" t="s">
        <v>112</v>
      </c>
      <c r="E825" s="21" t="s">
        <v>1564</v>
      </c>
      <c r="F825" s="261" t="str">
        <f>IF(wskakunin_sekou5__address="", "", wskakunin_sekou5__address)</f>
        <v/>
      </c>
      <c r="H825" s="22"/>
    </row>
    <row r="826" spans="1:8" ht="12">
      <c r="A826" s="64"/>
      <c r="B826" s="79" t="s">
        <v>214</v>
      </c>
      <c r="C826" s="21" t="s">
        <v>1565</v>
      </c>
      <c r="D826" s="263" t="s">
        <v>112</v>
      </c>
      <c r="E826" s="21" t="s">
        <v>1566</v>
      </c>
      <c r="F826" s="261" t="str">
        <f>IF(wskakunin_sekou5_TEL="", "", wskakunin_sekou5_TEL)</f>
        <v/>
      </c>
      <c r="H826" s="22"/>
    </row>
    <row r="827" spans="1:8" ht="12">
      <c r="A827" s="64"/>
      <c r="B827" s="79"/>
      <c r="D827" s="37"/>
      <c r="F827" s="22"/>
      <c r="H827" s="22"/>
    </row>
    <row r="828" spans="1:8" ht="12">
      <c r="A828" s="55" t="s">
        <v>1567</v>
      </c>
      <c r="B828" s="56"/>
      <c r="D828" s="37"/>
      <c r="F828" s="22"/>
      <c r="H828" s="22"/>
    </row>
    <row r="829" spans="1:8" ht="12">
      <c r="A829" s="64"/>
      <c r="B829" s="79" t="s">
        <v>194</v>
      </c>
      <c r="C829" s="21" t="s">
        <v>1568</v>
      </c>
      <c r="D829" s="261" t="s">
        <v>112</v>
      </c>
      <c r="E829" s="21" t="s">
        <v>1569</v>
      </c>
      <c r="F829" s="261" t="str">
        <f>IF(wskakunin_sekou6_NAME="", "", wskakunin_sekou6_NAME)</f>
        <v/>
      </c>
      <c r="H829" s="22"/>
    </row>
    <row r="830" spans="1:8" ht="12">
      <c r="A830" s="64"/>
      <c r="B830" s="79" t="s">
        <v>1470</v>
      </c>
      <c r="C830" s="21" t="s">
        <v>1570</v>
      </c>
      <c r="D830" s="261" t="s">
        <v>112</v>
      </c>
      <c r="E830" s="21" t="s">
        <v>1571</v>
      </c>
      <c r="F830" s="261" t="str">
        <f>IF(wskakunin_sekou6_SEKOU__sikaku="", "", wskakunin_sekou6_SEKOU__sikaku)</f>
        <v/>
      </c>
      <c r="H830" s="22"/>
    </row>
    <row r="831" spans="1:8" ht="12">
      <c r="A831" s="64"/>
      <c r="B831" s="79" t="s">
        <v>1474</v>
      </c>
      <c r="C831" s="21" t="s">
        <v>1572</v>
      </c>
      <c r="D831" s="261" t="s">
        <v>112</v>
      </c>
      <c r="E831" s="21" t="s">
        <v>1573</v>
      </c>
      <c r="F831" s="261" t="str">
        <f>IF(wskakunin_sekou6_SEKOU_SIKAKU__label="", "",wskakunin_sekou6_SEKOU_SIKAKU__label)</f>
        <v/>
      </c>
      <c r="H831" s="22"/>
    </row>
    <row r="832" spans="1:8" ht="12">
      <c r="A832" s="64"/>
      <c r="B832" s="79" t="s">
        <v>1478</v>
      </c>
      <c r="C832" s="21" t="s">
        <v>1574</v>
      </c>
      <c r="D832" s="263" t="s">
        <v>112</v>
      </c>
      <c r="E832" s="21" t="s">
        <v>1575</v>
      </c>
      <c r="F832" s="261" t="str">
        <f>IF(wskakunin_sekou6_SEKOU_NO="","",wskakunin_sekou6_SEKOU_NO)</f>
        <v/>
      </c>
      <c r="H832" s="22"/>
    </row>
    <row r="833" spans="1:8" ht="12">
      <c r="A833" s="64"/>
      <c r="B833" s="79" t="s">
        <v>1482</v>
      </c>
      <c r="C833" s="21" t="s">
        <v>1576</v>
      </c>
      <c r="D833" s="261" t="s">
        <v>112</v>
      </c>
      <c r="E833" s="21" t="s">
        <v>1577</v>
      </c>
      <c r="F833" s="261" t="str">
        <f>IF(wskakunin_sekou6_JIMU_NAME="", "", wskakunin_sekou6_JIMU_NAME)</f>
        <v/>
      </c>
      <c r="H833" s="22"/>
    </row>
    <row r="834" spans="1:8" ht="12">
      <c r="A834" s="64"/>
      <c r="B834" s="79" t="s">
        <v>205</v>
      </c>
      <c r="C834" s="21" t="s">
        <v>1578</v>
      </c>
      <c r="D834" s="263" t="s">
        <v>112</v>
      </c>
      <c r="E834" s="21" t="s">
        <v>1579</v>
      </c>
      <c r="F834" s="261" t="str">
        <f>IF(wskakunin_sekou6_ZIP="", "", wskakunin_sekou6_ZIP)</f>
        <v/>
      </c>
      <c r="H834" s="22"/>
    </row>
    <row r="835" spans="1:8" ht="12">
      <c r="A835" s="64"/>
      <c r="B835" s="79" t="s">
        <v>438</v>
      </c>
      <c r="C835" s="21" t="s">
        <v>1580</v>
      </c>
      <c r="D835" s="261" t="s">
        <v>112</v>
      </c>
      <c r="E835" s="21" t="s">
        <v>1581</v>
      </c>
      <c r="F835" s="261" t="str">
        <f>IF(wskakunin_sekou6__address="", "", wskakunin_sekou6__address)</f>
        <v/>
      </c>
      <c r="H835" s="22"/>
    </row>
    <row r="836" spans="1:8" ht="12">
      <c r="A836" s="64"/>
      <c r="B836" s="79" t="s">
        <v>214</v>
      </c>
      <c r="C836" s="21" t="s">
        <v>1582</v>
      </c>
      <c r="D836" s="263" t="s">
        <v>112</v>
      </c>
      <c r="E836" s="21" t="s">
        <v>1583</v>
      </c>
      <c r="F836" s="261" t="str">
        <f>IF(wskakunin_sekou6_TEL="", "", wskakunin_sekou6_TEL)</f>
        <v/>
      </c>
      <c r="H836" s="22"/>
    </row>
    <row r="837" spans="1:8" ht="12">
      <c r="A837" s="64"/>
      <c r="B837" s="79"/>
      <c r="D837" s="37"/>
      <c r="F837" s="22"/>
      <c r="G837" s="22"/>
      <c r="H837" s="22"/>
    </row>
    <row r="838" spans="1:8" ht="12">
      <c r="A838" s="67" t="s">
        <v>1584</v>
      </c>
      <c r="B838" s="62"/>
      <c r="D838" s="37"/>
      <c r="F838" s="22"/>
      <c r="G838" s="22"/>
      <c r="H838" s="22"/>
    </row>
    <row r="839" spans="1:8" ht="12">
      <c r="A839" s="64"/>
      <c r="B839" s="57" t="s">
        <v>1585</v>
      </c>
      <c r="D839" s="22"/>
      <c r="E839" s="21" t="s">
        <v>1586</v>
      </c>
      <c r="F839" s="261" t="b">
        <f>IF(ISERROR(FIND("一建設", cst_wskakunin_sekou1_JIMU_NAME)), FALSE, FIND("一建設", cst_wskakunin_sekou1_JIMU_NAME)=1)</f>
        <v>0</v>
      </c>
      <c r="G839" s="22" t="s">
        <v>1587</v>
      </c>
    </row>
    <row r="840" spans="1:8" ht="12">
      <c r="A840" s="64"/>
      <c r="B840" s="58" t="s">
        <v>1588</v>
      </c>
      <c r="D840" s="22"/>
      <c r="E840" s="21" t="s">
        <v>1589</v>
      </c>
      <c r="F840" s="261">
        <f>IF(ISERROR(FIND("ケイアイスター不動産", cst_wskakunin_sekou1_JIMU_NAME)), 0, 1)</f>
        <v>0</v>
      </c>
      <c r="G840" s="22"/>
      <c r="H840" s="22"/>
    </row>
    <row r="841" spans="1:8" ht="12">
      <c r="A841" s="65"/>
      <c r="B841" s="59"/>
      <c r="D841" s="22"/>
      <c r="F841" s="22"/>
      <c r="G841" s="22"/>
      <c r="H841" s="22"/>
    </row>
    <row r="842" spans="1:8" ht="12">
      <c r="A842" s="49" t="s">
        <v>1590</v>
      </c>
      <c r="B842" s="50"/>
      <c r="C842" s="21" t="s">
        <v>1591</v>
      </c>
      <c r="D842" s="162" t="s">
        <v>1592</v>
      </c>
      <c r="E842" s="21" t="s">
        <v>1593</v>
      </c>
      <c r="F842" s="162" t="str">
        <f>IF(wskakunin_BUILD_NAME="", "",wskakunin_BUILD_NAME)</f>
        <v>猫山邸　新築工事</v>
      </c>
      <c r="G842" s="22"/>
      <c r="H842" s="22"/>
    </row>
    <row r="843" spans="1:8" ht="12">
      <c r="A843" s="54"/>
      <c r="B843" s="66" t="s">
        <v>413</v>
      </c>
      <c r="C843" s="21" t="s">
        <v>1594</v>
      </c>
      <c r="D843" s="269" t="s">
        <v>112</v>
      </c>
      <c r="E843" s="21" t="s">
        <v>1595</v>
      </c>
      <c r="F843" s="269" t="str">
        <f>IF(wskakunin_BUILD_NAME_KANA="","",wskakunin_BUILD_NAME_KANA)</f>
        <v/>
      </c>
      <c r="G843" s="22"/>
      <c r="H843" s="22"/>
    </row>
    <row r="844" spans="1:8" ht="12">
      <c r="A844" s="101" t="s">
        <v>1596</v>
      </c>
      <c r="B844" s="102"/>
      <c r="C844" s="21" t="s">
        <v>1597</v>
      </c>
      <c r="D844" s="162" t="s">
        <v>112</v>
      </c>
      <c r="E844" s="21" t="s">
        <v>1598</v>
      </c>
      <c r="F844" s="162" t="str">
        <f>IF(wskakunin_P2_BIKOU="","",wskakunin_P2_BIKOU)</f>
        <v/>
      </c>
    </row>
    <row r="845" spans="1:8" ht="12">
      <c r="A845" s="54"/>
      <c r="B845" s="66"/>
    </row>
    <row r="847" spans="1:8" ht="12">
      <c r="A847" s="51" t="s">
        <v>1599</v>
      </c>
      <c r="B847" s="52"/>
      <c r="G847" s="22"/>
      <c r="H847" s="22"/>
    </row>
    <row r="848" spans="1:8" ht="12">
      <c r="A848" s="53"/>
      <c r="B848" s="77" t="s">
        <v>1600</v>
      </c>
      <c r="C848" s="21" t="s">
        <v>1601</v>
      </c>
      <c r="D848" s="162"/>
      <c r="G848" s="22"/>
      <c r="H848" s="22"/>
    </row>
    <row r="849" spans="1:8" ht="12">
      <c r="A849" s="53"/>
      <c r="B849" s="76" t="s">
        <v>1602</v>
      </c>
      <c r="E849" s="21" t="s">
        <v>1603</v>
      </c>
      <c r="F849" s="47" t="str">
        <f>IF(wskakunin_tekihan01_TEKIHAN_STATE=1,"■","□")</f>
        <v>□</v>
      </c>
      <c r="G849" s="22"/>
      <c r="H849" s="22"/>
    </row>
    <row r="850" spans="1:8" ht="12">
      <c r="A850" s="53"/>
      <c r="B850" s="76" t="s">
        <v>1604</v>
      </c>
      <c r="E850" s="21" t="s">
        <v>1605</v>
      </c>
      <c r="F850" s="47" t="str">
        <f>IF(wskakunin_tekihan01_TEKIHAN_STATE=2,"■","□")</f>
        <v>□</v>
      </c>
      <c r="G850" s="22"/>
      <c r="H850" s="22"/>
    </row>
    <row r="851" spans="1:8" ht="12">
      <c r="A851" s="53"/>
      <c r="B851" s="76" t="s">
        <v>1606</v>
      </c>
      <c r="E851" s="21" t="s">
        <v>1607</v>
      </c>
      <c r="F851" s="47" t="str">
        <f>IF(wskakunin_tekihan01_TEKIHAN_STATE=3,"■","□")</f>
        <v>□</v>
      </c>
      <c r="G851" s="22"/>
      <c r="H851" s="22"/>
    </row>
    <row r="852" spans="1:8" ht="12">
      <c r="A852" s="53"/>
      <c r="B852" s="77" t="s">
        <v>1608</v>
      </c>
      <c r="C852" s="21" t="s">
        <v>1609</v>
      </c>
      <c r="D852" s="162"/>
      <c r="E852" s="21" t="s">
        <v>1610</v>
      </c>
      <c r="F852" s="47" t="str">
        <f>IF(wskakunin_tekihan01_TEKIHAN_KIKAN_NAME="","",wskakunin_tekihan01_TEKIHAN_KIKAN_NAME)</f>
        <v/>
      </c>
      <c r="G852" s="22"/>
      <c r="H852" s="22"/>
    </row>
    <row r="853" spans="1:8" ht="12">
      <c r="A853" s="53"/>
      <c r="B853" s="77" t="s">
        <v>1611</v>
      </c>
      <c r="C853" s="21" t="s">
        <v>1612</v>
      </c>
      <c r="D853" s="162"/>
      <c r="E853" s="21" t="s">
        <v>1613</v>
      </c>
      <c r="F853" s="47" t="str">
        <f>IF(wskakunin_tekihan01_TEKIHAN_KIKAN_KEN__ken="","",wskakunin_tekihan01_TEKIHAN_KIKAN_KEN__ken)</f>
        <v/>
      </c>
      <c r="G853" s="22"/>
      <c r="H853" s="22"/>
    </row>
    <row r="854" spans="1:8" ht="12">
      <c r="A854" s="53"/>
      <c r="B854" s="77" t="s">
        <v>1614</v>
      </c>
      <c r="C854" s="21" t="s">
        <v>1615</v>
      </c>
      <c r="D854" s="162"/>
      <c r="E854" s="21" t="s">
        <v>1616</v>
      </c>
      <c r="F854" s="47" t="str">
        <f>IF(wskakunin_tekihan01_TEKIHAN_KIKAN_ADDRESS="","",wskakunin_tekihan01_TEKIHAN_KIKAN_ADDRESS)</f>
        <v/>
      </c>
      <c r="G854" s="22"/>
      <c r="H854" s="22"/>
    </row>
    <row r="855" spans="1:8" ht="12">
      <c r="A855" s="53"/>
      <c r="B855" s="77" t="s">
        <v>1617</v>
      </c>
      <c r="D855" s="162"/>
      <c r="E855" s="21" t="s">
        <v>1618</v>
      </c>
      <c r="F855" s="47" t="str">
        <f>cst_wskakunin_tekihan01_TEKIHAN_KIKAN_NAME&amp;IF(OR(cst_wskakunin_tekihan01_TEKIHAN_KIKAN_KEN__ken&lt;&gt;"",cst_wskakunin_tekihan01_TEKIHAN_KIKAN_ADDRESS&lt;&gt;""),"  ","")&amp;cst_wskakunin_tekihan01_TEKIHAN_KIKAN_KEN__ken&amp;cst_wskakunin_tekihan01_TEKIHAN_KIKAN_ADDRESS</f>
        <v/>
      </c>
      <c r="G855" s="22"/>
      <c r="H855" s="22"/>
    </row>
    <row r="856" spans="1:8" ht="12">
      <c r="A856" s="53"/>
      <c r="B856" s="77" t="s">
        <v>1608</v>
      </c>
      <c r="C856" s="21" t="s">
        <v>1619</v>
      </c>
      <c r="D856" s="162"/>
      <c r="E856" s="21" t="s">
        <v>1620</v>
      </c>
      <c r="F856" s="47" t="str">
        <f>IF(wskakunin_tekihan02_TEKIHAN_KIKAN_NAME="","",wskakunin_tekihan02_TEKIHAN_KIKAN_NAME)</f>
        <v/>
      </c>
      <c r="G856" s="22"/>
      <c r="H856" s="22"/>
    </row>
    <row r="857" spans="1:8" ht="12">
      <c r="A857" s="53"/>
      <c r="B857" s="77" t="s">
        <v>1611</v>
      </c>
      <c r="C857" s="21" t="s">
        <v>1621</v>
      </c>
      <c r="D857" s="162"/>
      <c r="E857" s="21" t="s">
        <v>1622</v>
      </c>
      <c r="F857" s="47" t="str">
        <f>IF(wskakunin_tekihan02_TEKIHAN_KIKAN_KEN__ken="","",wskakunin_tekihan02_TEKIHAN_KIKAN_KEN__ken)</f>
        <v/>
      </c>
      <c r="G857" s="22"/>
      <c r="H857" s="22"/>
    </row>
    <row r="858" spans="1:8" ht="12">
      <c r="A858" s="53"/>
      <c r="B858" s="77" t="s">
        <v>1614</v>
      </c>
      <c r="C858" s="21" t="s">
        <v>1623</v>
      </c>
      <c r="D858" s="162"/>
      <c r="E858" s="21" t="s">
        <v>1624</v>
      </c>
      <c r="F858" s="47" t="str">
        <f>IF(wskakunin_tekihan02_TEKIHAN_KIKAN_ADDRESS="","",wskakunin_tekihan02_TEKIHAN_KIKAN_ADDRESS)</f>
        <v/>
      </c>
      <c r="G858" s="22"/>
      <c r="H858" s="22"/>
    </row>
    <row r="859" spans="1:8" ht="12">
      <c r="A859" s="53"/>
      <c r="B859" s="77" t="s">
        <v>1617</v>
      </c>
      <c r="D859" s="162"/>
      <c r="E859" s="21" t="s">
        <v>1625</v>
      </c>
      <c r="F859" s="47" t="str">
        <f>cst_wskakunin_tekihan02_TEKIHAN_KIKAN_NAME&amp;IF(OR(cst_wskakunin_tekihan02_TEKIHAN_KIKAN_KEN__ken&lt;&gt;"",cst_wskakunin_tekihan02_TEKIHAN_KIKAN_ADDRESS&lt;&gt;""),"  ","")&amp;cst_wskakunin_tekihan02_TEKIHAN_KIKAN_KEN__ken&amp;cst_wskakunin_tekihan02_TEKIHAN_KIKAN_ADDRESS</f>
        <v/>
      </c>
      <c r="G859" s="22"/>
      <c r="H859" s="22"/>
    </row>
    <row r="860" spans="1:8" ht="12">
      <c r="A860" s="53"/>
      <c r="B860" s="78"/>
      <c r="G860" s="22"/>
      <c r="H860" s="22"/>
    </row>
    <row r="861" spans="1:8" ht="12">
      <c r="A861" s="51" t="s">
        <v>1626</v>
      </c>
      <c r="B861" s="52"/>
      <c r="G861" s="22"/>
      <c r="H861" s="22"/>
    </row>
    <row r="862" spans="1:8" ht="12">
      <c r="A862" s="53"/>
      <c r="B862" s="76" t="s">
        <v>1627</v>
      </c>
      <c r="C862" s="21" t="s">
        <v>1628</v>
      </c>
      <c r="D862" s="47"/>
      <c r="G862" s="22"/>
      <c r="H862" s="22"/>
    </row>
    <row r="863" spans="1:8" ht="12">
      <c r="A863" s="53"/>
      <c r="B863" s="76" t="s">
        <v>1629</v>
      </c>
      <c r="E863" s="21" t="s">
        <v>1630</v>
      </c>
      <c r="F863" s="47" t="str">
        <f>IF(wskakunin_ecotekihan01_TEKIHAN_STATE=1,"■","□")</f>
        <v>□</v>
      </c>
      <c r="G863" s="22">
        <v>1</v>
      </c>
      <c r="H863" s="22"/>
    </row>
    <row r="864" spans="1:8" ht="12">
      <c r="A864" s="53"/>
      <c r="B864" s="76" t="s">
        <v>1631</v>
      </c>
      <c r="E864" s="21" t="s">
        <v>1632</v>
      </c>
      <c r="F864" s="47" t="str">
        <f>IF(wskakunin_ecotekihan01_TEKIHAN_STATE=2,"■","□")</f>
        <v>□</v>
      </c>
      <c r="G864" s="22">
        <v>2</v>
      </c>
      <c r="H864" s="22"/>
    </row>
    <row r="865" spans="1:8" ht="12">
      <c r="A865" s="53"/>
      <c r="B865" s="76" t="s">
        <v>1633</v>
      </c>
      <c r="E865" s="21" t="s">
        <v>1634</v>
      </c>
      <c r="F865" s="47" t="str">
        <f>IF(wskakunin_ecotekihan01_TEKIHAN_STATE=3,"■","□")</f>
        <v>□</v>
      </c>
      <c r="G865" s="22">
        <v>3</v>
      </c>
      <c r="H865" s="22"/>
    </row>
    <row r="866" spans="1:8" ht="12">
      <c r="A866" s="53"/>
      <c r="B866" s="77" t="s">
        <v>1608</v>
      </c>
      <c r="C866" s="21" t="s">
        <v>1635</v>
      </c>
      <c r="D866" s="47"/>
      <c r="E866" s="21" t="s">
        <v>1636</v>
      </c>
      <c r="F866" s="47" t="str">
        <f>IF(wskakunin_ecotekihan01_TEKIHAN_KIKAN_NAME="","",wskakunin_ecotekihan01_TEKIHAN_KIKAN_NAME)</f>
        <v/>
      </c>
      <c r="G866" s="22"/>
      <c r="H866" s="22"/>
    </row>
    <row r="867" spans="1:8" ht="12">
      <c r="A867" s="53"/>
      <c r="B867" s="77" t="s">
        <v>1611</v>
      </c>
      <c r="C867" s="21" t="s">
        <v>1637</v>
      </c>
      <c r="D867" s="47"/>
      <c r="E867" s="21" t="s">
        <v>1638</v>
      </c>
      <c r="F867" s="47" t="str">
        <f>IF(wskakunin_ecotekihan01_TEKIHAN_KIKAN_KEN__ken="","",wskakunin_ecotekihan01_TEKIHAN_KIKAN_KEN__ken)</f>
        <v/>
      </c>
      <c r="G867" s="22"/>
      <c r="H867" s="22"/>
    </row>
    <row r="868" spans="1:8" ht="12">
      <c r="A868" s="53"/>
      <c r="B868" s="77" t="s">
        <v>1614</v>
      </c>
      <c r="C868" s="21" t="s">
        <v>1639</v>
      </c>
      <c r="D868" s="47"/>
      <c r="E868" s="21" t="s">
        <v>1640</v>
      </c>
      <c r="F868" s="47" t="str">
        <f>IF(wskakunin_ecotekihan01_TEKIHAN_KIKAN_ADDRESS="","",wskakunin_ecotekihan01_TEKIHAN_KIKAN_ADDRESS)</f>
        <v/>
      </c>
      <c r="G868" s="22"/>
      <c r="H868" s="22"/>
    </row>
    <row r="869" spans="1:8" ht="12">
      <c r="A869" s="53"/>
      <c r="B869" s="77"/>
      <c r="G869" s="22"/>
      <c r="H869" s="22"/>
    </row>
    <row r="870" spans="1:8" ht="12">
      <c r="A870" s="53"/>
      <c r="B870" s="77" t="s">
        <v>1641</v>
      </c>
      <c r="E870" s="21" t="s">
        <v>1642</v>
      </c>
      <c r="F870" s="47"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70" s="22"/>
      <c r="H870" s="22"/>
    </row>
    <row r="871" spans="1:8" ht="12">
      <c r="A871" s="53"/>
      <c r="B871" s="77" t="s">
        <v>1643</v>
      </c>
      <c r="E871" s="21" t="s">
        <v>1644</v>
      </c>
      <c r="F871" s="47"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1" s="22"/>
      <c r="H871" s="22"/>
    </row>
    <row r="872" spans="1:8" ht="12">
      <c r="A872" s="53"/>
      <c r="B872" s="77" t="s">
        <v>1645</v>
      </c>
      <c r="C872" s="21" t="s">
        <v>1646</v>
      </c>
      <c r="D872" s="47"/>
      <c r="E872" s="21" t="s">
        <v>1647</v>
      </c>
      <c r="F872" s="47" t="str">
        <f>IF(wskakunin_ecotekihan01_FUYOU_CAUSE="","",wskakunin_ecotekihan01_FUYOU_CAUSE)</f>
        <v/>
      </c>
      <c r="G872" s="22"/>
      <c r="H872" s="22"/>
    </row>
    <row r="873" spans="1:8" ht="12">
      <c r="A873" s="54"/>
      <c r="B873" s="78"/>
      <c r="G873" s="22"/>
      <c r="H873" s="22"/>
    </row>
    <row r="874" spans="1:8" ht="12">
      <c r="G874" s="22"/>
      <c r="H874" s="22"/>
    </row>
    <row r="875" spans="1:8" ht="12">
      <c r="A875" s="55" t="s">
        <v>1648</v>
      </c>
      <c r="B875" s="114"/>
      <c r="G875" s="22"/>
      <c r="H875" s="22"/>
    </row>
    <row r="876" spans="1:8" ht="12">
      <c r="A876" s="224" t="s">
        <v>1649</v>
      </c>
      <c r="B876" s="137" t="s">
        <v>1650</v>
      </c>
      <c r="C876" s="21" t="s">
        <v>1651</v>
      </c>
      <c r="D876" s="261"/>
      <c r="E876" s="21" t="s">
        <v>1652</v>
      </c>
      <c r="F876" s="261" t="str">
        <f>IF(wskakunin_p4_1_youto1_YOUTO="", "", wskakunin_p4_1_youto1_YOUTO)</f>
        <v/>
      </c>
      <c r="G876" s="22"/>
      <c r="H876" s="22"/>
    </row>
    <row r="877" spans="1:8" ht="12">
      <c r="A877" s="115"/>
      <c r="B877" s="137" t="s">
        <v>1653</v>
      </c>
      <c r="C877" s="21" t="s">
        <v>1654</v>
      </c>
      <c r="D877" s="263"/>
      <c r="E877" s="21" t="s">
        <v>1655</v>
      </c>
      <c r="F877" s="261" t="str">
        <f>IF(wskakunin_p4_1_youto1_YOUTO_CODE="","",wskakunin_p4_1_youto1_YOUTO_CODE)</f>
        <v/>
      </c>
      <c r="G877" s="22"/>
      <c r="H877" s="22"/>
    </row>
    <row r="878" spans="1:8" ht="12">
      <c r="A878" s="115"/>
      <c r="B878" s="137" t="s">
        <v>1656</v>
      </c>
      <c r="C878" s="108"/>
      <c r="D878" s="263"/>
      <c r="E878" s="21" t="s">
        <v>1657</v>
      </c>
      <c r="F878" s="261"/>
      <c r="G878" s="22"/>
      <c r="H878" s="22"/>
    </row>
    <row r="879" spans="1:8" ht="12">
      <c r="A879" s="115"/>
      <c r="B879" s="137" t="s">
        <v>1658</v>
      </c>
      <c r="C879" s="108"/>
      <c r="D879" s="263"/>
      <c r="E879" s="21" t="s">
        <v>1659</v>
      </c>
      <c r="F879" s="261"/>
      <c r="G879" s="22"/>
      <c r="H879" s="22"/>
    </row>
    <row r="880" spans="1:8" ht="12">
      <c r="A880" s="115"/>
      <c r="B880" s="137" t="s">
        <v>1660</v>
      </c>
      <c r="C880" s="108"/>
      <c r="D880" s="263"/>
      <c r="E880" s="21" t="s">
        <v>1661</v>
      </c>
      <c r="F880" s="261"/>
      <c r="G880" s="22"/>
      <c r="H880" s="22"/>
    </row>
    <row r="881" spans="1:8" ht="12">
      <c r="A881" s="115"/>
      <c r="B881" s="137" t="s">
        <v>1662</v>
      </c>
      <c r="C881" s="108"/>
      <c r="D881" s="263"/>
      <c r="E881" s="21" t="s">
        <v>1663</v>
      </c>
      <c r="F881" s="261"/>
      <c r="G881" s="22"/>
      <c r="H881" s="22"/>
    </row>
    <row r="882" spans="1:8" ht="12">
      <c r="A882" s="115"/>
      <c r="B882" s="137" t="s">
        <v>1664</v>
      </c>
      <c r="C882" s="108"/>
      <c r="D882" s="263"/>
      <c r="E882" s="21" t="s">
        <v>1665</v>
      </c>
      <c r="F882" s="261"/>
      <c r="G882" s="22"/>
      <c r="H882" s="22"/>
    </row>
    <row r="883" spans="1:8" ht="12">
      <c r="A883" s="115"/>
      <c r="B883" s="137" t="s">
        <v>1666</v>
      </c>
      <c r="C883" s="108"/>
      <c r="D883" s="263"/>
      <c r="E883" s="21" t="s">
        <v>1667</v>
      </c>
      <c r="F883" s="261"/>
      <c r="G883" s="22"/>
      <c r="H883" s="22"/>
    </row>
    <row r="884" spans="1:8" ht="12">
      <c r="A884" s="115"/>
      <c r="B884" s="137" t="s">
        <v>1668</v>
      </c>
      <c r="C884" s="108"/>
      <c r="D884" s="263"/>
      <c r="E884" s="21" t="s">
        <v>1669</v>
      </c>
      <c r="F884" s="271" t="str">
        <f>IF(D877="08010","○","")</f>
        <v/>
      </c>
      <c r="G884" s="22"/>
      <c r="H884" s="22"/>
    </row>
    <row r="885" spans="1:8" ht="12">
      <c r="A885" s="64"/>
      <c r="B885" s="137" t="s">
        <v>1670</v>
      </c>
      <c r="C885" s="21" t="s">
        <v>1671</v>
      </c>
      <c r="D885" s="261"/>
      <c r="E885" s="21" t="s">
        <v>1672</v>
      </c>
      <c r="F885" s="261" t="str">
        <f>IF(wskakunin_p4_1__kouji="", "", wskakunin_p4_1__kouji)</f>
        <v/>
      </c>
      <c r="G885" s="22"/>
      <c r="H885" s="22"/>
    </row>
    <row r="886" spans="1:8" ht="12">
      <c r="A886" s="64"/>
      <c r="B886" s="137" t="s">
        <v>1673</v>
      </c>
      <c r="C886" s="21" t="s">
        <v>1674</v>
      </c>
      <c r="D886" s="261"/>
      <c r="E886" s="21" t="s">
        <v>1675</v>
      </c>
      <c r="F886" s="261" t="str">
        <f>IF(wskakunin_p4_1_KAISU_TIKAI_NOZOKU="", "", wskakunin_p4_1_KAISU_TIKAI_NOZOKU)</f>
        <v/>
      </c>
      <c r="G886" s="22"/>
      <c r="H886" s="22"/>
    </row>
    <row r="887" spans="1:8" ht="12">
      <c r="A887" s="64"/>
      <c r="B887" s="137" t="s">
        <v>1676</v>
      </c>
      <c r="C887" s="21" t="s">
        <v>1677</v>
      </c>
      <c r="D887" s="261"/>
      <c r="E887" s="21" t="s">
        <v>1678</v>
      </c>
      <c r="F887" s="261" t="str">
        <f>IF(wskakunin_p4_1_KAISU_TIKAI="", "", wskakunin_p4_1_KAISU_TIKAI)</f>
        <v/>
      </c>
      <c r="G887" s="22"/>
      <c r="H887" s="22"/>
    </row>
    <row r="888" spans="1:8" ht="12">
      <c r="A888" s="64"/>
      <c r="B888" s="137" t="s">
        <v>1679</v>
      </c>
      <c r="C888" s="21" t="s">
        <v>1680</v>
      </c>
      <c r="D888" s="261"/>
      <c r="E888" s="21" t="s">
        <v>1681</v>
      </c>
      <c r="F888" s="261" t="str">
        <f>IF(wskakunin_p4_1_KOUZOU1="", "", wskakunin_p4_1_KOUZOU1)</f>
        <v/>
      </c>
      <c r="G888" s="22"/>
      <c r="H888" s="22"/>
    </row>
    <row r="889" spans="1:8" ht="12">
      <c r="A889" s="64"/>
      <c r="B889" s="137" t="s">
        <v>1682</v>
      </c>
      <c r="C889" s="21" t="s">
        <v>1683</v>
      </c>
      <c r="D889" s="261"/>
      <c r="E889" s="21" t="s">
        <v>1684</v>
      </c>
      <c r="F889" s="261" t="str">
        <f>IF(wskakunin_p4_1_KOUZOU2="", "", wskakunin_p4_1_KOUZOU2)</f>
        <v/>
      </c>
      <c r="G889" s="22"/>
      <c r="H889" s="22"/>
    </row>
    <row r="890" spans="1:8" ht="12">
      <c r="A890" s="64"/>
      <c r="B890" s="137" t="s">
        <v>1685</v>
      </c>
      <c r="C890" s="21" t="s">
        <v>1686</v>
      </c>
      <c r="D890" s="270"/>
      <c r="E890" s="21" t="s">
        <v>1687</v>
      </c>
      <c r="F890" s="261" t="str">
        <f>IF(wskakunin_p4_1_TAKASA_MAX="", "", wskakunin_p4_1_TAKASA_MAX)</f>
        <v/>
      </c>
      <c r="G890" s="22"/>
      <c r="H890" s="22"/>
    </row>
    <row r="891" spans="1:8" ht="12">
      <c r="A891" s="64"/>
      <c r="B891" s="137" t="s">
        <v>1688</v>
      </c>
      <c r="C891" s="21" t="s">
        <v>1689</v>
      </c>
      <c r="D891" s="270"/>
      <c r="E891" s="21" t="s">
        <v>1690</v>
      </c>
      <c r="F891" s="261" t="str">
        <f>IF(wskakunin_p4_1_TAKASA_KEN_MAX="", "", wskakunin_p4_1_TAKASA_KEN_MAX)</f>
        <v/>
      </c>
      <c r="G891" s="22"/>
      <c r="H891" s="22"/>
    </row>
    <row r="892" spans="1:8" ht="12">
      <c r="A892" s="64"/>
      <c r="B892" s="222" t="s">
        <v>1691</v>
      </c>
      <c r="C892" s="21" t="s">
        <v>1692</v>
      </c>
      <c r="D892" s="270"/>
      <c r="E892" s="21" t="s">
        <v>1693</v>
      </c>
      <c r="F892" s="261" t="str">
        <f>IF(wskakunin_p4_1_KAISU_YUKA_MENSEKI_SHINSEI="","",wskakunin_p4_1_KAISU_YUKA_MENSEKI_SHINSEI)</f>
        <v/>
      </c>
      <c r="G892" s="22"/>
      <c r="H892" s="22"/>
    </row>
    <row r="893" spans="1:8" ht="12">
      <c r="A893" s="295"/>
      <c r="B893" s="222" t="s">
        <v>1694</v>
      </c>
      <c r="C893" s="21" t="s">
        <v>1695</v>
      </c>
      <c r="D893" s="270"/>
      <c r="E893" s="21" t="s">
        <v>1696</v>
      </c>
      <c r="F893" s="261" t="str">
        <f>IF(wskakunin_p4_1_TOKUREI_KAKUNIN_FLAG=1,"有","無")</f>
        <v>無</v>
      </c>
      <c r="G893" s="22"/>
      <c r="H893" s="22"/>
    </row>
    <row r="894" spans="1:8" ht="12">
      <c r="A894" s="295"/>
      <c r="B894" s="222"/>
      <c r="D894" s="223"/>
      <c r="E894" s="21" t="s">
        <v>1697</v>
      </c>
      <c r="F894" s="261" t="str">
        <f>IF(cst_wskakunin_p4_1_TOKUREI_KAKUNIN_FLAG="有","■","□")</f>
        <v>□</v>
      </c>
      <c r="G894" s="22"/>
      <c r="H894" s="22"/>
    </row>
    <row r="895" spans="1:8" ht="12">
      <c r="A895" s="295"/>
      <c r="B895" s="222"/>
      <c r="D895" s="223"/>
      <c r="E895" s="21" t="s">
        <v>1698</v>
      </c>
      <c r="F895" s="261" t="str">
        <f>IF(cst_wskakunin_p4_1_TOKUREI_KAKUNIN_FLAG="無","■","□")</f>
        <v>■</v>
      </c>
      <c r="G895" s="22"/>
      <c r="H895" s="22"/>
    </row>
    <row r="896" spans="1:8" ht="12">
      <c r="A896" s="136"/>
      <c r="B896" s="138"/>
      <c r="D896" s="223"/>
      <c r="F896" s="22"/>
      <c r="G896" s="22"/>
      <c r="H896" s="22"/>
    </row>
    <row r="897" spans="1:8" ht="12">
      <c r="A897" s="303"/>
      <c r="B897" s="306" t="s">
        <v>1699</v>
      </c>
      <c r="C897" s="21" t="s">
        <v>1700</v>
      </c>
      <c r="D897" s="270"/>
      <c r="E897" s="21" t="s">
        <v>1701</v>
      </c>
      <c r="F897" s="261" t="str">
        <f>IF(wskakunin_p4_1_p5_1_KAI="","",wskakunin_p4_1_p5_1_KAI)</f>
        <v/>
      </c>
      <c r="G897" s="22"/>
      <c r="H897" s="22"/>
    </row>
    <row r="898" spans="1:8" ht="12">
      <c r="A898" s="304"/>
      <c r="B898" s="307" t="s">
        <v>1702</v>
      </c>
      <c r="C898" s="21" t="s">
        <v>1703</v>
      </c>
      <c r="D898" s="270"/>
      <c r="E898" s="21" t="s">
        <v>1704</v>
      </c>
      <c r="F898" s="261" t="str">
        <f>IF(wskakunin_p4_1_p5_1_P4_MENSEKI_SHINSEI="","",wskakunin_p4_1_p5_1_P4_MENSEKI_SHINSEI)</f>
        <v/>
      </c>
      <c r="G898" s="22"/>
      <c r="H898" s="22"/>
    </row>
    <row r="899" spans="1:8" ht="12">
      <c r="A899" s="304"/>
      <c r="B899" s="307" t="s">
        <v>1705</v>
      </c>
      <c r="C899" s="21" t="s">
        <v>1706</v>
      </c>
      <c r="D899" s="270"/>
      <c r="E899" s="21" t="s">
        <v>1707</v>
      </c>
      <c r="F899" s="261" t="str">
        <f>IF(wskakunin_p4_1_p5_2_KAI="","",wskakunin_p4_1_p5_2_KAI)</f>
        <v/>
      </c>
      <c r="G899" s="22"/>
      <c r="H899" s="22"/>
    </row>
    <row r="900" spans="1:8" ht="12">
      <c r="A900" s="304"/>
      <c r="B900" s="307" t="s">
        <v>1708</v>
      </c>
      <c r="C900" s="21" t="s">
        <v>1709</v>
      </c>
      <c r="D900" s="270"/>
      <c r="E900" s="21" t="s">
        <v>1710</v>
      </c>
      <c r="F900" s="261" t="str">
        <f>IF(wskakunin_p4_1_p5_2_P4_MENSEKI_SHINSEI="","",wskakunin_p4_1_p5_2_P4_MENSEKI_SHINSEI)</f>
        <v/>
      </c>
      <c r="G900" s="22"/>
      <c r="H900" s="22"/>
    </row>
    <row r="901" spans="1:8" ht="12">
      <c r="A901" s="304"/>
      <c r="B901" s="307" t="s">
        <v>1711</v>
      </c>
      <c r="C901" s="21" t="s">
        <v>1712</v>
      </c>
      <c r="D901" s="270"/>
      <c r="E901" s="21" t="s">
        <v>1713</v>
      </c>
      <c r="F901" s="261" t="str">
        <f>IF(wskakunin_p4_1_p5_3_KAI="","",wskakunin_p4_1_p5_3_KAI)</f>
        <v/>
      </c>
      <c r="G901" s="22"/>
      <c r="H901" s="22"/>
    </row>
    <row r="902" spans="1:8" ht="12">
      <c r="A902" s="305"/>
      <c r="B902" s="307" t="s">
        <v>1714</v>
      </c>
      <c r="C902" s="21" t="s">
        <v>1715</v>
      </c>
      <c r="D902" s="270"/>
      <c r="E902" s="21" t="s">
        <v>1716</v>
      </c>
      <c r="F902" s="261" t="str">
        <f>IF(wskakunin_p4_1_p5_3_P4_MENSEKI_SHINSEI="","",wskakunin_p4_1_p5_3_P4_MENSEKI_SHINSEI)</f>
        <v/>
      </c>
      <c r="G902" s="22"/>
      <c r="H902" s="22"/>
    </row>
    <row r="904" spans="1:8" ht="12">
      <c r="A904" s="61" t="s">
        <v>1717</v>
      </c>
      <c r="B904" s="109"/>
      <c r="G904" s="22"/>
      <c r="H904" s="22"/>
    </row>
    <row r="905" spans="1:8" ht="12">
      <c r="A905" s="49" t="s">
        <v>1718</v>
      </c>
      <c r="B905" s="52"/>
      <c r="G905" s="22"/>
      <c r="H905" s="22"/>
    </row>
    <row r="906" spans="1:8" ht="12">
      <c r="A906" s="86"/>
      <c r="B906" s="80" t="s">
        <v>1719</v>
      </c>
      <c r="C906" s="21" t="s">
        <v>1720</v>
      </c>
      <c r="D906" s="162" t="s">
        <v>212</v>
      </c>
      <c r="E906" s="21" t="s">
        <v>1721</v>
      </c>
      <c r="F906" s="162" t="str">
        <f>IF(wskakunin_BUILD__address="", "", wskakunin_BUILD__address)</f>
        <v>大阪府茨木市山手台2-2-2</v>
      </c>
      <c r="G906" s="22"/>
      <c r="H906" s="22"/>
    </row>
    <row r="907" spans="1:8" ht="12">
      <c r="A907" s="86"/>
      <c r="B907" s="159" t="s">
        <v>1722</v>
      </c>
      <c r="C907" s="21" t="s">
        <v>1723</v>
      </c>
      <c r="D907" s="162" t="s">
        <v>1724</v>
      </c>
      <c r="E907" s="21" t="s">
        <v>1725</v>
      </c>
      <c r="F907" s="162" t="str">
        <f>IF(wskakunin_BUILD_KEN__ken="","",wskakunin_BUILD_KEN__ken)</f>
        <v>大阪府</v>
      </c>
      <c r="G907" s="22"/>
      <c r="H907" s="22"/>
    </row>
    <row r="908" spans="1:8" ht="12">
      <c r="A908" s="86"/>
      <c r="B908" s="159" t="s">
        <v>1726</v>
      </c>
      <c r="C908" s="21" t="s">
        <v>1727</v>
      </c>
      <c r="D908" s="162" t="s">
        <v>1728</v>
      </c>
      <c r="E908" s="21" t="s">
        <v>1729</v>
      </c>
      <c r="F908" s="162" t="str">
        <f>IF(wskakunin_BUILD_ADDRESS="","",wskakunin_BUILD_ADDRESS)</f>
        <v>茨木市山手台2-2-2</v>
      </c>
      <c r="G908" s="22"/>
      <c r="H908" s="22"/>
    </row>
    <row r="909" spans="1:8" ht="12">
      <c r="A909" s="87"/>
      <c r="B909" s="88"/>
      <c r="D909" s="22"/>
      <c r="F909" s="22"/>
      <c r="G909" s="22"/>
      <c r="H909" s="22"/>
    </row>
    <row r="910" spans="1:8" ht="12">
      <c r="A910" s="49" t="s">
        <v>1730</v>
      </c>
      <c r="B910" s="52"/>
      <c r="G910" s="22"/>
      <c r="H910" s="22"/>
    </row>
    <row r="911" spans="1:8" ht="12">
      <c r="A911" s="86"/>
      <c r="B911" s="80" t="s">
        <v>210</v>
      </c>
      <c r="C911" s="21" t="s">
        <v>1731</v>
      </c>
      <c r="D911" s="47" t="s">
        <v>1732</v>
      </c>
      <c r="E911" s="21" t="s">
        <v>1733</v>
      </c>
      <c r="F911" s="47" t="str">
        <f>IF(wskakunin_BUILD_JYUKYO__address="","",wskakunin_BUILD_JYUKYO__address)</f>
        <v>大阪府茨木市山手台2-2（以下未定）</v>
      </c>
      <c r="G911" s="22"/>
      <c r="H911" s="22"/>
    </row>
    <row r="912" spans="1:8" ht="12">
      <c r="A912" s="86"/>
      <c r="B912" s="159" t="s">
        <v>1722</v>
      </c>
      <c r="C912" s="21" t="s">
        <v>1734</v>
      </c>
      <c r="D912" s="47" t="s">
        <v>1724</v>
      </c>
      <c r="E912" s="21" t="s">
        <v>1735</v>
      </c>
      <c r="F912" s="47" t="str">
        <f>IF(wskakunin_BUILD_JYUKYO_KEN__ken="","",wskakunin_BUILD_JYUKYO_KEN__ken)</f>
        <v>大阪府</v>
      </c>
      <c r="G912" s="22"/>
      <c r="H912" s="22"/>
    </row>
    <row r="913" spans="1:8" ht="12">
      <c r="A913" s="86"/>
      <c r="B913" s="159" t="s">
        <v>1726</v>
      </c>
      <c r="C913" s="21" t="s">
        <v>1736</v>
      </c>
      <c r="D913" s="162" t="s">
        <v>1737</v>
      </c>
      <c r="E913" s="21" t="s">
        <v>1738</v>
      </c>
      <c r="F913" s="162" t="str">
        <f>IF(wskakunin_BUILD_JYUKYO_ADDRESS="","",wskakunin_BUILD_JYUKYO_ADDRESS)</f>
        <v>茨木市山手台2-2（以下未定）</v>
      </c>
      <c r="G913" s="22"/>
      <c r="H913" s="22"/>
    </row>
    <row r="914" spans="1:8" ht="12">
      <c r="A914" s="87"/>
      <c r="B914" s="88"/>
      <c r="D914" s="22"/>
      <c r="F914" s="22"/>
      <c r="G914" s="22"/>
      <c r="H914" s="22"/>
    </row>
    <row r="915" spans="1:8" ht="12">
      <c r="A915" s="8" t="s">
        <v>1739</v>
      </c>
      <c r="B915" s="52"/>
      <c r="G915" s="22"/>
      <c r="H915" s="22"/>
    </row>
    <row r="916" spans="1:8" ht="12">
      <c r="A916" s="14"/>
      <c r="B916" s="80" t="s">
        <v>1740</v>
      </c>
      <c r="C916" s="21" t="s">
        <v>1741</v>
      </c>
      <c r="D916" s="162" t="s">
        <v>112</v>
      </c>
      <c r="E916" s="21" t="s">
        <v>1742</v>
      </c>
      <c r="F916" s="162" t="str">
        <f>IF(wskakunin_KUIKI_TOSI=1,"■","□")</f>
        <v>□</v>
      </c>
      <c r="H916" s="22"/>
    </row>
    <row r="917" spans="1:8" ht="12">
      <c r="A917" s="14"/>
      <c r="B917" s="80" t="s">
        <v>1743</v>
      </c>
      <c r="C917" s="21" t="s">
        <v>1744</v>
      </c>
      <c r="D917" s="162" t="s">
        <v>112</v>
      </c>
      <c r="E917" s="21" t="s">
        <v>1745</v>
      </c>
      <c r="F917" s="162" t="str">
        <f>IF(wskakunin__kuiki="", "", wskakunin__kuiki)</f>
        <v/>
      </c>
      <c r="G917" s="22"/>
      <c r="H917" s="22"/>
    </row>
    <row r="918" spans="1:8" ht="12">
      <c r="A918" s="239"/>
      <c r="B918" s="80"/>
      <c r="D918" s="22"/>
      <c r="E918" s="21" t="s">
        <v>1746</v>
      </c>
      <c r="F918" s="162" t="str">
        <f>IF(cst_wskakunin__kuiki="都市計画区域内","■","□")</f>
        <v>□</v>
      </c>
      <c r="G918" s="22"/>
      <c r="H918" s="22"/>
    </row>
    <row r="919" spans="1:8" ht="12">
      <c r="A919" s="14"/>
      <c r="B919" s="80" t="s">
        <v>1747</v>
      </c>
      <c r="C919" s="21" t="s">
        <v>1748</v>
      </c>
      <c r="D919" s="162" t="s">
        <v>112</v>
      </c>
      <c r="E919" s="21" t="s">
        <v>1749</v>
      </c>
      <c r="F919" s="162" t="str">
        <f>IF(wskakunin_KUIKI_SIGAIKA=1,"■","□")</f>
        <v>□</v>
      </c>
      <c r="G919" s="22"/>
      <c r="H919" s="22"/>
    </row>
    <row r="920" spans="1:8" ht="12">
      <c r="A920" s="14"/>
      <c r="B920" s="80" t="s">
        <v>1750</v>
      </c>
      <c r="C920" s="21" t="s">
        <v>1751</v>
      </c>
      <c r="D920" s="162" t="s">
        <v>112</v>
      </c>
      <c r="E920" s="21" t="s">
        <v>1752</v>
      </c>
      <c r="F920" s="162" t="str">
        <f>IF(wskakunin__tosi_kuiki="", "", wskakunin__tosi_kuiki)</f>
        <v/>
      </c>
      <c r="G920" s="22"/>
      <c r="H920" s="22"/>
    </row>
    <row r="921" spans="1:8" ht="12">
      <c r="A921" s="14"/>
      <c r="B921" s="80" t="s">
        <v>1753</v>
      </c>
      <c r="C921" s="21" t="s">
        <v>1754</v>
      </c>
      <c r="D921" s="162" t="s">
        <v>112</v>
      </c>
      <c r="E921" s="21" t="s">
        <v>1755</v>
      </c>
      <c r="F921" s="162" t="str">
        <f>IF(wskakunin_KUIKI_TYOSEI=1,"■","□")</f>
        <v>□</v>
      </c>
      <c r="H921" s="22"/>
    </row>
    <row r="922" spans="1:8" ht="12">
      <c r="A922" s="14"/>
      <c r="B922" s="80" t="s">
        <v>1756</v>
      </c>
      <c r="C922" s="21" t="s">
        <v>1757</v>
      </c>
      <c r="D922" s="162" t="s">
        <v>112</v>
      </c>
      <c r="E922" s="21" t="s">
        <v>1758</v>
      </c>
      <c r="F922" s="162" t="str">
        <f>IF(wskakunin_KUIKI_HISETTEI=1,"■","□")</f>
        <v>□</v>
      </c>
      <c r="H922" s="22"/>
    </row>
    <row r="923" spans="1:8" ht="12">
      <c r="A923" s="14"/>
      <c r="B923" s="80" t="s">
        <v>1759</v>
      </c>
      <c r="C923" s="21" t="s">
        <v>1760</v>
      </c>
      <c r="D923" s="162" t="s">
        <v>112</v>
      </c>
      <c r="E923" s="21" t="s">
        <v>1761</v>
      </c>
      <c r="F923" s="162" t="str">
        <f>IF(wskakunin_KUIKI_JYUN_TOSHI=1,"■","□")</f>
        <v>□</v>
      </c>
      <c r="H923" s="22"/>
    </row>
    <row r="924" spans="1:8" ht="12">
      <c r="A924" s="14"/>
      <c r="B924" s="77" t="s">
        <v>1762</v>
      </c>
      <c r="C924" s="21" t="s">
        <v>1763</v>
      </c>
      <c r="D924" s="162" t="s">
        <v>112</v>
      </c>
      <c r="E924" s="21" t="s">
        <v>1764</v>
      </c>
      <c r="F924" s="162" t="str">
        <f>IF(wskakunin_KUIKI_KUIKIGAI=1,"■","□")</f>
        <v>□</v>
      </c>
      <c r="H924" s="22"/>
    </row>
    <row r="925" spans="1:8" ht="12">
      <c r="A925" s="15"/>
      <c r="B925" s="78"/>
      <c r="D925" s="22"/>
      <c r="F925" s="22"/>
      <c r="H925" s="22"/>
    </row>
    <row r="926" spans="1:8" ht="12">
      <c r="A926" s="8" t="s">
        <v>1765</v>
      </c>
      <c r="B926" s="31"/>
      <c r="C926" s="21" t="s">
        <v>1766</v>
      </c>
      <c r="D926" s="162" t="s">
        <v>112</v>
      </c>
      <c r="E926" s="21" t="s">
        <v>1767</v>
      </c>
      <c r="F926" s="162" t="str">
        <f>IF(wskakunin__bouka="", "", wskakunin__bouka)</f>
        <v/>
      </c>
      <c r="H926" s="22"/>
    </row>
    <row r="927" spans="1:8" ht="12">
      <c r="A927" s="14"/>
      <c r="B927" s="74" t="s">
        <v>1768</v>
      </c>
      <c r="C927" s="21" t="s">
        <v>1769</v>
      </c>
      <c r="D927" s="162" t="s">
        <v>112</v>
      </c>
      <c r="E927" s="21" t="s">
        <v>1770</v>
      </c>
      <c r="F927" s="162" t="str">
        <f>IF(wskakunin_BOUKA_BOUKA=1,"■","□")</f>
        <v>□</v>
      </c>
      <c r="H927" s="22"/>
    </row>
    <row r="928" spans="1:8" ht="12">
      <c r="A928" s="14"/>
      <c r="B928" s="74" t="s">
        <v>1771</v>
      </c>
      <c r="C928" s="21" t="s">
        <v>1772</v>
      </c>
      <c r="D928" s="162" t="s">
        <v>112</v>
      </c>
      <c r="E928" s="21" t="s">
        <v>1773</v>
      </c>
      <c r="F928" s="162" t="str">
        <f>IF(wskakunin_BOUKA_JYUN_BOUKA=1,"■","□")</f>
        <v>□</v>
      </c>
      <c r="H928" s="22"/>
    </row>
    <row r="929" spans="1:8" ht="12">
      <c r="A929" s="14"/>
      <c r="B929" s="74" t="s">
        <v>1774</v>
      </c>
      <c r="C929" s="21" t="s">
        <v>1775</v>
      </c>
      <c r="D929" s="162" t="s">
        <v>112</v>
      </c>
      <c r="E929" s="21" t="s">
        <v>1776</v>
      </c>
      <c r="F929" s="162" t="str">
        <f>IF(wskakunin_BOUKA_NASI=1,"■","□")</f>
        <v>□</v>
      </c>
      <c r="H929" s="22"/>
    </row>
    <row r="930" spans="1:8" ht="12">
      <c r="A930" s="14"/>
      <c r="B930" s="74" t="s">
        <v>1777</v>
      </c>
      <c r="C930" s="21" t="s">
        <v>1778</v>
      </c>
      <c r="D930" s="162" t="s">
        <v>112</v>
      </c>
      <c r="E930" s="21" t="s">
        <v>1779</v>
      </c>
      <c r="F930" s="162" t="str">
        <f>IF(wskakunin_BOUKA_22JYO=1,"■","□")</f>
        <v>□</v>
      </c>
      <c r="H930" s="22"/>
    </row>
    <row r="931" spans="1:8" ht="12">
      <c r="A931" s="15"/>
      <c r="B931" s="75"/>
      <c r="D931" s="22"/>
      <c r="F931" s="22"/>
      <c r="H931" s="22"/>
    </row>
    <row r="932" spans="1:8" ht="12">
      <c r="A932" s="8" t="s">
        <v>1780</v>
      </c>
      <c r="B932" s="31"/>
      <c r="C932" s="21" t="s">
        <v>1781</v>
      </c>
      <c r="D932" s="162" t="s">
        <v>112</v>
      </c>
      <c r="E932" s="21" t="s">
        <v>1782</v>
      </c>
      <c r="F932" s="162" t="str">
        <f>IF(wskakunin_SONOTA_KUIKI="","",wskakunin_SONOTA_KUIKI)</f>
        <v/>
      </c>
      <c r="H932" s="22"/>
    </row>
    <row r="933" spans="1:8" ht="12">
      <c r="A933" s="15"/>
      <c r="B933" s="66"/>
      <c r="H933" s="22"/>
    </row>
    <row r="934" spans="1:8" ht="12">
      <c r="A934" s="30" t="s">
        <v>1783</v>
      </c>
      <c r="B934" s="30"/>
      <c r="D934" s="22"/>
      <c r="F934" s="22"/>
      <c r="H934" s="22"/>
    </row>
    <row r="935" spans="1:8" ht="12">
      <c r="A935" s="30"/>
      <c r="B935" s="74" t="s">
        <v>1784</v>
      </c>
      <c r="C935" s="21" t="s">
        <v>1785</v>
      </c>
      <c r="D935" s="272" t="s">
        <v>112</v>
      </c>
      <c r="E935" s="21" t="s">
        <v>1786</v>
      </c>
      <c r="F935" s="272" t="str">
        <f>IF(wskakunin_DOURO_FUKUIN="","",wskakunin_DOURO_FUKUIN)</f>
        <v/>
      </c>
      <c r="H935" s="22"/>
    </row>
    <row r="936" spans="1:8" ht="12">
      <c r="A936" s="30"/>
      <c r="B936" s="74" t="s">
        <v>1787</v>
      </c>
      <c r="C936" s="21" t="s">
        <v>1788</v>
      </c>
      <c r="D936" s="272" t="s">
        <v>112</v>
      </c>
      <c r="E936" s="21" t="s">
        <v>1789</v>
      </c>
      <c r="F936" s="272" t="str">
        <f>IF(wskakunin_DOURO_NAGASA="","",wskakunin_DOURO_NAGASA)</f>
        <v/>
      </c>
      <c r="H936" s="22"/>
    </row>
    <row r="937" spans="1:8" ht="12">
      <c r="A937" s="30"/>
      <c r="B937" s="75"/>
      <c r="D937" s="22"/>
      <c r="F937" s="22"/>
      <c r="H937" s="22"/>
    </row>
    <row r="938" spans="1:8" ht="12">
      <c r="A938" s="70" t="s">
        <v>1790</v>
      </c>
      <c r="B938" s="71"/>
      <c r="D938" s="22"/>
      <c r="F938" s="22"/>
      <c r="H938" s="22"/>
    </row>
    <row r="939" spans="1:8" ht="12">
      <c r="A939" s="48" t="s">
        <v>1791</v>
      </c>
      <c r="B939" s="72"/>
      <c r="D939" s="22"/>
      <c r="F939" s="22"/>
      <c r="H939" s="22"/>
    </row>
    <row r="940" spans="1:8" ht="12">
      <c r="A940" s="14"/>
      <c r="B940" s="74" t="s">
        <v>1792</v>
      </c>
      <c r="C940" s="21" t="s">
        <v>1793</v>
      </c>
      <c r="D940" s="273" t="s">
        <v>112</v>
      </c>
      <c r="E940" s="21" t="s">
        <v>1794</v>
      </c>
      <c r="F940" s="273" t="str">
        <f>IF(wskakunin_SHIKITI_MENSEKI_1A="","",wskakunin_SHIKITI_MENSEKI_1A)</f>
        <v/>
      </c>
      <c r="H940" s="22"/>
    </row>
    <row r="941" spans="1:8" ht="12">
      <c r="A941" s="14"/>
      <c r="B941" s="74" t="s">
        <v>1795</v>
      </c>
      <c r="C941" s="21" t="s">
        <v>1796</v>
      </c>
      <c r="D941" s="273" t="s">
        <v>112</v>
      </c>
      <c r="E941" s="21" t="s">
        <v>1797</v>
      </c>
      <c r="F941" s="273" t="str">
        <f>IF(wskakunin_SHIKITI_MENSEKI_1B="","",wskakunin_SHIKITI_MENSEKI_1B)</f>
        <v/>
      </c>
      <c r="H941" s="22"/>
    </row>
    <row r="942" spans="1:8" ht="12">
      <c r="A942" s="14"/>
      <c r="B942" s="74" t="s">
        <v>1798</v>
      </c>
      <c r="C942" s="21" t="s">
        <v>1799</v>
      </c>
      <c r="D942" s="273" t="s">
        <v>112</v>
      </c>
      <c r="E942" s="21" t="s">
        <v>1800</v>
      </c>
      <c r="F942" s="273" t="str">
        <f>IF(wskakunin_SHIKITI_MENSEKI_1C="","",wskakunin_SHIKITI_MENSEKI_1C)</f>
        <v/>
      </c>
      <c r="H942" s="22"/>
    </row>
    <row r="943" spans="1:8" ht="12">
      <c r="A943" s="14"/>
      <c r="B943" s="74" t="s">
        <v>1801</v>
      </c>
      <c r="C943" s="21" t="s">
        <v>1802</v>
      </c>
      <c r="D943" s="273" t="s">
        <v>112</v>
      </c>
      <c r="E943" s="21" t="s">
        <v>1803</v>
      </c>
      <c r="F943" s="273" t="str">
        <f>IF(wskakunin_SHIKITI_MENSEKI_1D="","",wskakunin_SHIKITI_MENSEKI_1D)</f>
        <v/>
      </c>
      <c r="H943" s="22"/>
    </row>
    <row r="944" spans="1:8" ht="12">
      <c r="A944" s="14"/>
      <c r="B944" s="74" t="s">
        <v>1804</v>
      </c>
      <c r="C944" s="21" t="s">
        <v>1805</v>
      </c>
      <c r="D944" s="273" t="s">
        <v>112</v>
      </c>
      <c r="E944" s="21" t="s">
        <v>1806</v>
      </c>
      <c r="F944" s="273" t="str">
        <f>IF(wskakunin_SHIKITI_MENSEKI_2A="","",wskakunin_SHIKITI_MENSEKI_2A)</f>
        <v/>
      </c>
      <c r="H944" s="22"/>
    </row>
    <row r="945" spans="1:8" ht="12">
      <c r="A945" s="14"/>
      <c r="B945" s="74" t="s">
        <v>1807</v>
      </c>
      <c r="C945" s="21" t="s">
        <v>1808</v>
      </c>
      <c r="D945" s="273" t="s">
        <v>112</v>
      </c>
      <c r="E945" s="21" t="s">
        <v>1809</v>
      </c>
      <c r="F945" s="273" t="str">
        <f>IF(wskakunin_SHIKITI_MENSEKI_2B="","",wskakunin_SHIKITI_MENSEKI_2B)</f>
        <v/>
      </c>
      <c r="H945" s="22"/>
    </row>
    <row r="946" spans="1:8" ht="12">
      <c r="A946" s="14"/>
      <c r="B946" s="74" t="s">
        <v>1810</v>
      </c>
      <c r="C946" s="21" t="s">
        <v>1811</v>
      </c>
      <c r="D946" s="273" t="s">
        <v>112</v>
      </c>
      <c r="E946" s="21" t="s">
        <v>1812</v>
      </c>
      <c r="F946" s="273" t="str">
        <f>IF(wskakunin_SHIKITI_MENSEKI_2C="","",wskakunin_SHIKITI_MENSEKI_2C)</f>
        <v/>
      </c>
      <c r="H946" s="22"/>
    </row>
    <row r="947" spans="1:8" ht="12">
      <c r="A947" s="14"/>
      <c r="B947" s="46" t="s">
        <v>1813</v>
      </c>
      <c r="C947" s="21" t="s">
        <v>1814</v>
      </c>
      <c r="D947" s="273" t="s">
        <v>112</v>
      </c>
      <c r="E947" s="21" t="s">
        <v>1815</v>
      </c>
      <c r="F947" s="273" t="str">
        <f>IF(wskakunin_SHIKITI_MENSEKI_2D="","",wskakunin_SHIKITI_MENSEKI_2D)</f>
        <v/>
      </c>
      <c r="H947" s="22"/>
    </row>
    <row r="948" spans="1:8" ht="12">
      <c r="A948" s="48" t="s">
        <v>1816</v>
      </c>
      <c r="B948" s="72"/>
      <c r="D948" s="22"/>
      <c r="F948" s="22"/>
      <c r="H948" s="22"/>
    </row>
    <row r="949" spans="1:8" ht="12">
      <c r="A949" s="14"/>
      <c r="B949" s="74" t="s">
        <v>1817</v>
      </c>
      <c r="C949" s="21" t="s">
        <v>1818</v>
      </c>
      <c r="D949" s="162" t="s">
        <v>112</v>
      </c>
      <c r="E949" s="21" t="s">
        <v>1819</v>
      </c>
      <c r="F949" s="162" t="str">
        <f>IF(wskakunin_YOUTO_TIIKI_A="", "", wskakunin_YOUTO_TIIKI_A)</f>
        <v/>
      </c>
      <c r="H949" s="22"/>
    </row>
    <row r="950" spans="1:8" ht="12">
      <c r="A950" s="14"/>
      <c r="B950" s="74" t="s">
        <v>1820</v>
      </c>
      <c r="C950" s="21" t="s">
        <v>1821</v>
      </c>
      <c r="D950" s="162" t="s">
        <v>112</v>
      </c>
      <c r="E950" s="21" t="s">
        <v>1822</v>
      </c>
      <c r="F950" s="162" t="str">
        <f>IF(wskakunin_YOUTO_TIIKI_B="","",wskakunin_YOUTO_TIIKI_B)</f>
        <v/>
      </c>
      <c r="H950" s="22"/>
    </row>
    <row r="951" spans="1:8" ht="12">
      <c r="A951" s="14"/>
      <c r="B951" s="74" t="s">
        <v>1823</v>
      </c>
      <c r="C951" s="21" t="s">
        <v>1824</v>
      </c>
      <c r="D951" s="162" t="s">
        <v>112</v>
      </c>
      <c r="E951" s="21" t="s">
        <v>1825</v>
      </c>
      <c r="F951" s="162" t="str">
        <f>IF(wskakunin_YOUTO_TIIKI_C="","",wskakunin_YOUTO_TIIKI_C)</f>
        <v/>
      </c>
      <c r="H951" s="22"/>
    </row>
    <row r="952" spans="1:8" ht="12">
      <c r="A952" s="73"/>
      <c r="B952" s="74" t="s">
        <v>1826</v>
      </c>
      <c r="C952" s="21" t="s">
        <v>1827</v>
      </c>
      <c r="D952" s="162" t="s">
        <v>112</v>
      </c>
      <c r="E952" s="21" t="s">
        <v>1828</v>
      </c>
      <c r="F952" s="162" t="str">
        <f>IF(wskakunin_YOUTO_TIIKI_D="","",wskakunin_YOUTO_TIIKI_D)</f>
        <v/>
      </c>
      <c r="G952" s="21" t="s">
        <v>1829</v>
      </c>
      <c r="H952" s="22"/>
    </row>
    <row r="953" spans="1:8" ht="12">
      <c r="A953" s="48" t="s">
        <v>1830</v>
      </c>
      <c r="B953" s="72"/>
      <c r="D953" s="22"/>
      <c r="F953" s="22"/>
      <c r="H953" s="22"/>
    </row>
    <row r="954" spans="1:8" ht="12">
      <c r="A954" s="14"/>
      <c r="B954" s="74" t="s">
        <v>1817</v>
      </c>
      <c r="C954" s="21" t="s">
        <v>1831</v>
      </c>
      <c r="D954" s="273" t="s">
        <v>112</v>
      </c>
      <c r="E954" s="110" t="s">
        <v>1832</v>
      </c>
      <c r="F954" s="273" t="str">
        <f>IF(wskakunin_YOUSEKI_RITU_A="","",wskakunin_YOUSEKI_RITU_A)</f>
        <v/>
      </c>
      <c r="H954" s="22"/>
    </row>
    <row r="955" spans="1:8" ht="12">
      <c r="A955" s="14"/>
      <c r="B955" s="74" t="s">
        <v>1820</v>
      </c>
      <c r="C955" s="21" t="s">
        <v>1833</v>
      </c>
      <c r="D955" s="273" t="s">
        <v>112</v>
      </c>
      <c r="E955" s="110" t="s">
        <v>1834</v>
      </c>
      <c r="F955" s="273" t="str">
        <f>IF(wskakunin_YOUSEKI_RITU_B="","",wskakunin_YOUSEKI_RITU_B)</f>
        <v/>
      </c>
      <c r="H955" s="22"/>
    </row>
    <row r="956" spans="1:8" ht="12">
      <c r="A956" s="14"/>
      <c r="B956" s="74" t="s">
        <v>1823</v>
      </c>
      <c r="C956" s="21" t="s">
        <v>1835</v>
      </c>
      <c r="D956" s="273" t="s">
        <v>112</v>
      </c>
      <c r="E956" s="110" t="s">
        <v>1836</v>
      </c>
      <c r="F956" s="273" t="str">
        <f>IF(wskakunin_YOUSEKI_RITU_C="","",wskakunin_YOUSEKI_RITU_C)</f>
        <v/>
      </c>
      <c r="H956" s="22"/>
    </row>
    <row r="957" spans="1:8" ht="12">
      <c r="A957" s="73"/>
      <c r="B957" s="74" t="s">
        <v>1826</v>
      </c>
      <c r="C957" s="21" t="s">
        <v>1837</v>
      </c>
      <c r="D957" s="273" t="s">
        <v>112</v>
      </c>
      <c r="E957" s="110" t="s">
        <v>1838</v>
      </c>
      <c r="F957" s="273" t="str">
        <f>IF(wskakunin_YOUSEKI_RITU_D="","",wskakunin_YOUSEKI_RITU_D)</f>
        <v/>
      </c>
      <c r="H957" s="22"/>
    </row>
    <row r="958" spans="1:8" ht="12">
      <c r="A958" s="48" t="s">
        <v>1839</v>
      </c>
      <c r="B958" s="72"/>
      <c r="D958" s="111"/>
      <c r="E958" s="110"/>
      <c r="F958" s="111"/>
      <c r="H958" s="22"/>
    </row>
    <row r="959" spans="1:8" ht="12">
      <c r="A959" s="14"/>
      <c r="B959" s="74" t="s">
        <v>1817</v>
      </c>
      <c r="C959" s="21" t="s">
        <v>1840</v>
      </c>
      <c r="D959" s="273" t="s">
        <v>112</v>
      </c>
      <c r="E959" s="110" t="s">
        <v>1841</v>
      </c>
      <c r="F959" s="273" t="str">
        <f>IF(wskakunin_KENPEI_RITU_A="","",wskakunin_KENPEI_RITU_A)</f>
        <v/>
      </c>
      <c r="H959" s="22"/>
    </row>
    <row r="960" spans="1:8" ht="12">
      <c r="A960" s="14"/>
      <c r="B960" s="74" t="s">
        <v>1820</v>
      </c>
      <c r="C960" s="21" t="s">
        <v>1842</v>
      </c>
      <c r="D960" s="273" t="s">
        <v>112</v>
      </c>
      <c r="E960" s="110" t="s">
        <v>1843</v>
      </c>
      <c r="F960" s="273" t="str">
        <f>IF(wskakunin_KENPEI_RITU_B="","",wskakunin_KENPEI_RITU_B)</f>
        <v/>
      </c>
    </row>
    <row r="961" spans="1:6" ht="12">
      <c r="A961" s="14"/>
      <c r="B961" s="74" t="s">
        <v>1823</v>
      </c>
      <c r="C961" s="21" t="s">
        <v>1844</v>
      </c>
      <c r="D961" s="273" t="s">
        <v>112</v>
      </c>
      <c r="E961" s="110" t="s">
        <v>1845</v>
      </c>
      <c r="F961" s="273" t="str">
        <f>IF(wskakunin_KENPEI_RITU_C="","",wskakunin_KENPEI_RITU_C)</f>
        <v/>
      </c>
    </row>
    <row r="962" spans="1:6" ht="12">
      <c r="A962" s="73"/>
      <c r="B962" s="74" t="s">
        <v>1826</v>
      </c>
      <c r="C962" s="21" t="s">
        <v>1846</v>
      </c>
      <c r="D962" s="273" t="s">
        <v>112</v>
      </c>
      <c r="E962" s="110" t="s">
        <v>1847</v>
      </c>
      <c r="F962" s="273" t="str">
        <f>IF(wskakunin_KENPEI_RITU_D="","",wskakunin_KENPEI_RITU_D)</f>
        <v/>
      </c>
    </row>
    <row r="963" spans="1:6" ht="12">
      <c r="A963" s="14" t="s">
        <v>1848</v>
      </c>
      <c r="B963" s="32"/>
      <c r="D963" s="111"/>
      <c r="E963" s="110"/>
      <c r="F963" s="111"/>
    </row>
    <row r="964" spans="1:6" ht="12">
      <c r="A964" s="14"/>
      <c r="B964" s="74" t="s">
        <v>1849</v>
      </c>
      <c r="C964" s="21" t="s">
        <v>1850</v>
      </c>
      <c r="D964" s="273" t="s">
        <v>112</v>
      </c>
      <c r="E964" s="21" t="s">
        <v>1851</v>
      </c>
      <c r="F964" s="162" t="str">
        <f>IF(wskakunin_SHIKITI_MENSEKI_1_TOTAL="", "", wskakunin_SHIKITI_MENSEKI_1_TOTAL)</f>
        <v/>
      </c>
    </row>
    <row r="965" spans="1:6" ht="12">
      <c r="A965" s="14"/>
      <c r="B965" s="74" t="s">
        <v>1852</v>
      </c>
      <c r="C965" s="21" t="s">
        <v>1853</v>
      </c>
      <c r="D965" s="273" t="s">
        <v>112</v>
      </c>
      <c r="E965" s="110" t="s">
        <v>1854</v>
      </c>
      <c r="F965" s="273" t="str">
        <f>IF(wskakunin_SHIKITI_MENSEKI_2_TOTAL="","",wskakunin_SHIKITI_MENSEKI_2_TOTAL)</f>
        <v/>
      </c>
    </row>
    <row r="966" spans="1:6" ht="12">
      <c r="A966" s="14"/>
      <c r="B966" s="85" t="s">
        <v>1855</v>
      </c>
      <c r="C966" s="21" t="s">
        <v>1856</v>
      </c>
      <c r="D966" s="273" t="s">
        <v>112</v>
      </c>
      <c r="E966" s="110" t="s">
        <v>1857</v>
      </c>
      <c r="F966" s="273" t="str">
        <f>IF(wskakunin_LIMIT_YOUSEKI_RITU="","",wskakunin_LIMIT_YOUSEKI_RITU)</f>
        <v/>
      </c>
    </row>
    <row r="967" spans="1:6" ht="12">
      <c r="A967" s="14"/>
      <c r="B967" s="85" t="s">
        <v>1858</v>
      </c>
      <c r="C967" s="21" t="s">
        <v>1859</v>
      </c>
      <c r="D967" s="273" t="s">
        <v>112</v>
      </c>
      <c r="E967" s="110" t="s">
        <v>1860</v>
      </c>
      <c r="F967" s="273" t="str">
        <f>IF(wskakunin_LIMIT_KENPEI_RITU="","",wskakunin_LIMIT_KENPEI_RITU)</f>
        <v/>
      </c>
    </row>
    <row r="968" spans="1:6" ht="12">
      <c r="A968" s="15"/>
      <c r="B968" s="75" t="s">
        <v>2</v>
      </c>
      <c r="C968" s="21" t="s">
        <v>1861</v>
      </c>
      <c r="D968" s="162" t="s">
        <v>112</v>
      </c>
      <c r="E968" s="21" t="s">
        <v>1862</v>
      </c>
      <c r="F968" s="162" t="str">
        <f>IF(wskakunin_SHIKITI_MENSEKI_BIKOU="","",wskakunin_SHIKITI_MENSEKI_BIKOU)</f>
        <v/>
      </c>
    </row>
    <row r="969" spans="1:6" ht="12">
      <c r="A969" s="49" t="s">
        <v>1863</v>
      </c>
      <c r="B969" s="50"/>
      <c r="D969" s="22"/>
      <c r="F969" s="22"/>
    </row>
    <row r="970" spans="1:6" ht="12">
      <c r="A970" s="86"/>
      <c r="B970" s="131" t="s">
        <v>1864</v>
      </c>
      <c r="C970" s="21" t="s">
        <v>1865</v>
      </c>
      <c r="D970" s="255" t="s">
        <v>112</v>
      </c>
      <c r="E970" s="21" t="s">
        <v>1866</v>
      </c>
      <c r="F970" s="255" t="str">
        <f>IF(wskakunin_YOUTO_CODE="","",wskakunin_YOUTO_CODE)</f>
        <v/>
      </c>
    </row>
    <row r="971" spans="1:6" ht="12">
      <c r="A971" s="86"/>
      <c r="B971" s="131" t="s">
        <v>1650</v>
      </c>
      <c r="C971" s="21" t="s">
        <v>1867</v>
      </c>
      <c r="D971" s="162" t="s">
        <v>112</v>
      </c>
      <c r="E971" s="21" t="s">
        <v>1868</v>
      </c>
      <c r="F971" s="162" t="str">
        <f>IF(wskakunin_YOUTO="", "", wskakunin_YOUTO)</f>
        <v/>
      </c>
    </row>
    <row r="972" spans="1:6" ht="12">
      <c r="A972" s="236"/>
      <c r="B972" s="158" t="s">
        <v>1869</v>
      </c>
      <c r="C972" s="21" t="s">
        <v>1870</v>
      </c>
      <c r="D972" s="162" t="s">
        <v>112</v>
      </c>
      <c r="E972" s="21" t="s">
        <v>1871</v>
      </c>
      <c r="F972" s="162" t="str">
        <f>IF(shinsei_UNIT_COUNT="","",shinsei_UNIT_COUNT)</f>
        <v/>
      </c>
    </row>
    <row r="973" spans="1:6" ht="12">
      <c r="A973" s="236"/>
      <c r="B973" s="300" t="s">
        <v>1872</v>
      </c>
      <c r="D973" s="22"/>
      <c r="E973" s="21" t="s">
        <v>1873</v>
      </c>
      <c r="F973" s="162" t="str">
        <f>IF(cst_wskakunin_YOUTO="一戸建ての住宅","■","□")</f>
        <v>□</v>
      </c>
    </row>
    <row r="974" spans="1:6" ht="12">
      <c r="A974" s="236"/>
      <c r="B974" s="300" t="s">
        <v>1874</v>
      </c>
      <c r="D974" s="22"/>
      <c r="E974" s="21" t="s">
        <v>1875</v>
      </c>
      <c r="F974" s="162" t="str">
        <f>IF(OR(cst_wskakunin_YOUTO="",cst_wskakunin_YOUTO="一戸建ての住宅"),"□","■")</f>
        <v>□</v>
      </c>
    </row>
    <row r="975" spans="1:6" ht="12">
      <c r="A975" s="8" t="s">
        <v>1876</v>
      </c>
      <c r="B975" s="71"/>
      <c r="D975" s="22"/>
      <c r="F975" s="22"/>
    </row>
    <row r="976" spans="1:6" ht="12">
      <c r="A976" s="73"/>
      <c r="B976" s="150" t="s">
        <v>1877</v>
      </c>
      <c r="C976" s="21" t="s">
        <v>1878</v>
      </c>
      <c r="D976" s="162" t="s">
        <v>1879</v>
      </c>
      <c r="E976" s="21" t="s">
        <v>1880</v>
      </c>
      <c r="F976" s="162" t="str">
        <f>IF(wskakunin__kouji="", "", wskakunin__kouji)</f>
        <v>新築</v>
      </c>
    </row>
    <row r="977" spans="1:7" ht="12">
      <c r="A977" s="14"/>
      <c r="B977" s="150" t="s">
        <v>1879</v>
      </c>
      <c r="C977" s="21" t="s">
        <v>1881</v>
      </c>
      <c r="D977" s="162">
        <v>1</v>
      </c>
      <c r="E977" s="21" t="s">
        <v>1882</v>
      </c>
      <c r="F977" s="162" t="str">
        <f>IF(wskakunin_KOUJI_SINTIKU=1,"■","□")</f>
        <v>■</v>
      </c>
    </row>
    <row r="978" spans="1:7" ht="12">
      <c r="A978" s="14"/>
      <c r="B978" s="150" t="s">
        <v>1883</v>
      </c>
      <c r="C978" s="21" t="s">
        <v>1884</v>
      </c>
      <c r="D978" s="162" t="s">
        <v>112</v>
      </c>
      <c r="E978" s="21" t="s">
        <v>1885</v>
      </c>
      <c r="F978" s="162" t="str">
        <f>IF(wskakunin_KOUJI_ZOUTIKU=1,"■","□")</f>
        <v>□</v>
      </c>
    </row>
    <row r="979" spans="1:7" ht="12">
      <c r="A979" s="14"/>
      <c r="B979" s="150" t="s">
        <v>1886</v>
      </c>
      <c r="C979" s="21" t="s">
        <v>1887</v>
      </c>
      <c r="D979" s="162" t="s">
        <v>112</v>
      </c>
      <c r="E979" s="21" t="s">
        <v>1888</v>
      </c>
      <c r="F979" s="162" t="str">
        <f>IF(wskakunin_KOUJI_KAITIKU=1,"■","□")</f>
        <v>□</v>
      </c>
    </row>
    <row r="980" spans="1:7" ht="12">
      <c r="A980" s="14"/>
      <c r="B980" s="150" t="s">
        <v>1889</v>
      </c>
      <c r="C980" s="21" t="s">
        <v>1890</v>
      </c>
      <c r="D980" s="162" t="s">
        <v>112</v>
      </c>
      <c r="E980" s="21" t="s">
        <v>1891</v>
      </c>
      <c r="F980" s="162" t="str">
        <f>IF(wskakunin_KOUJI_ITEN=1,"■","□")</f>
        <v>□</v>
      </c>
    </row>
    <row r="981" spans="1:7" ht="12">
      <c r="A981" s="14"/>
      <c r="B981" s="150" t="s">
        <v>1892</v>
      </c>
      <c r="C981" s="21" t="s">
        <v>1893</v>
      </c>
      <c r="D981" s="162" t="s">
        <v>112</v>
      </c>
      <c r="E981" s="21" t="s">
        <v>1894</v>
      </c>
      <c r="F981" s="162" t="str">
        <f>IF(wskakunin_KOUJI_YOUTOHENKOU=1,"■","□")</f>
        <v>□</v>
      </c>
      <c r="G981" s="21" t="s">
        <v>1895</v>
      </c>
    </row>
    <row r="982" spans="1:7" ht="12">
      <c r="A982" s="14"/>
      <c r="B982" s="150" t="s">
        <v>1896</v>
      </c>
      <c r="C982" s="21" t="s">
        <v>1897</v>
      </c>
      <c r="D982" s="162" t="s">
        <v>112</v>
      </c>
      <c r="E982" s="21" t="s">
        <v>1898</v>
      </c>
      <c r="F982" s="162" t="str">
        <f>IF(wskakunin_KOUJI_DAI_SYUUZEN=1,"■","□")</f>
        <v>□</v>
      </c>
    </row>
    <row r="983" spans="1:7" ht="12">
      <c r="A983" s="14"/>
      <c r="B983" s="150" t="s">
        <v>1899</v>
      </c>
      <c r="C983" s="21" t="s">
        <v>1900</v>
      </c>
      <c r="D983" s="162" t="s">
        <v>112</v>
      </c>
      <c r="E983" s="21" t="s">
        <v>1901</v>
      </c>
      <c r="F983" s="162" t="str">
        <f>IF(wskakunin_KOUJI_DAI_MOYOUGAE=1,"■","□")</f>
        <v>□</v>
      </c>
    </row>
    <row r="984" spans="1:7" ht="12">
      <c r="A984" s="14"/>
      <c r="B984" s="150" t="s">
        <v>1902</v>
      </c>
      <c r="C984" s="21" t="s">
        <v>1903</v>
      </c>
      <c r="D984" s="162"/>
      <c r="E984" s="21" t="s">
        <v>1904</v>
      </c>
      <c r="F984" s="162" t="str">
        <f>IF(wskakuninKOUJI_SETUBI=1,"■","□")</f>
        <v>□</v>
      </c>
      <c r="G984" s="21" t="s">
        <v>1905</v>
      </c>
    </row>
    <row r="985" spans="1:7" ht="12">
      <c r="A985" s="239"/>
      <c r="B985" s="299" t="s">
        <v>1906</v>
      </c>
      <c r="D985" s="22"/>
      <c r="E985" s="21" t="s">
        <v>1907</v>
      </c>
      <c r="F985" s="162" t="str">
        <f>IF(OR(cst_wskakunin_KOUJI_ZOUTIKU_box="■",cst_wskakunin_KOUJI_KAITIKU_box="■"),"■","□")</f>
        <v>□</v>
      </c>
    </row>
    <row r="986" spans="1:7" ht="12">
      <c r="A986" s="73"/>
      <c r="B986" s="150"/>
    </row>
    <row r="987" spans="1:7" ht="12">
      <c r="A987" s="14" t="s">
        <v>1908</v>
      </c>
      <c r="B987" s="146"/>
      <c r="E987" s="164"/>
      <c r="F987" s="164"/>
    </row>
    <row r="988" spans="1:7" ht="12">
      <c r="A988" s="14"/>
      <c r="B988" s="160" t="s">
        <v>1909</v>
      </c>
      <c r="C988" s="21" t="s">
        <v>1910</v>
      </c>
      <c r="D988" s="162"/>
      <c r="E988" s="21" t="s">
        <v>1911</v>
      </c>
      <c r="F988" s="162" t="str">
        <f>IF(wskakunin_gaiyou1_WORK_SYURUI_CODE="","",wskakunin_gaiyou1_WORK_SYURUI_CODE)</f>
        <v/>
      </c>
    </row>
    <row r="989" spans="1:7" ht="12">
      <c r="A989" s="14"/>
      <c r="B989" s="160" t="s">
        <v>1912</v>
      </c>
      <c r="C989" s="21" t="s">
        <v>1913</v>
      </c>
      <c r="D989" s="162"/>
      <c r="E989" s="21" t="s">
        <v>1914</v>
      </c>
      <c r="F989" s="162" t="str">
        <f>IF(wskakunin_gaiyou1_WORK_SYURUI="","",wskakunin_gaiyou1_WORK_SYURUI)</f>
        <v/>
      </c>
    </row>
    <row r="990" spans="1:7" ht="12">
      <c r="A990" s="14"/>
      <c r="B990" s="160" t="s">
        <v>1915</v>
      </c>
      <c r="C990" s="21" t="s">
        <v>1916</v>
      </c>
      <c r="D990" s="162"/>
      <c r="E990" s="21" t="s">
        <v>1917</v>
      </c>
      <c r="F990" s="162" t="str">
        <f>IF(wskakunin_gaiyou1_TAKASA="","",wskakunin_gaiyou1_TAKASA)</f>
        <v/>
      </c>
    </row>
    <row r="991" spans="1:7" ht="12">
      <c r="A991" s="14"/>
      <c r="B991" s="160" t="s">
        <v>1679</v>
      </c>
      <c r="C991" s="21" t="s">
        <v>1918</v>
      </c>
      <c r="D991" s="162"/>
      <c r="E991" s="21" t="s">
        <v>1919</v>
      </c>
      <c r="F991" s="162" t="str">
        <f>IF(wskakunin_gaiyou1_KOUZOU="","",wskakunin_gaiyou1_KOUZOU)</f>
        <v/>
      </c>
    </row>
    <row r="992" spans="1:7" ht="12">
      <c r="A992" s="14"/>
      <c r="B992" s="77" t="s">
        <v>1920</v>
      </c>
      <c r="C992" s="21" t="s">
        <v>1921</v>
      </c>
      <c r="D992" s="47"/>
      <c r="E992" s="21" t="s">
        <v>1922</v>
      </c>
      <c r="F992" s="47" t="str">
        <f>IF(wskakunin_gaiyou1_KOUJI_SINTIKU=1,"■","□")</f>
        <v>□</v>
      </c>
    </row>
    <row r="993" spans="1:6" ht="12">
      <c r="A993" s="14"/>
      <c r="B993" s="77" t="s">
        <v>1923</v>
      </c>
      <c r="C993" s="21" t="s">
        <v>1924</v>
      </c>
      <c r="D993" s="47"/>
      <c r="E993" s="21" t="s">
        <v>1925</v>
      </c>
      <c r="F993" s="47" t="str">
        <f>IF(wskakunin_gaiyou1_KOUJI_ZOUTIKU=1,"■","□")</f>
        <v>□</v>
      </c>
    </row>
    <row r="994" spans="1:6" ht="12">
      <c r="A994" s="14"/>
      <c r="B994" s="77" t="s">
        <v>1926</v>
      </c>
      <c r="C994" s="21" t="s">
        <v>1927</v>
      </c>
      <c r="D994" s="47"/>
      <c r="E994" s="21" t="s">
        <v>1928</v>
      </c>
      <c r="F994" s="47" t="str">
        <f>IF(wskakunin_gaiyou1_KOUJI_KAITIKU=1,"■","□")</f>
        <v>□</v>
      </c>
    </row>
    <row r="995" spans="1:6" ht="12">
      <c r="A995" s="14"/>
      <c r="B995" s="77" t="s">
        <v>1929</v>
      </c>
      <c r="C995" s="21" t="s">
        <v>1930</v>
      </c>
      <c r="D995" s="47"/>
      <c r="E995" s="21" t="s">
        <v>1931</v>
      </c>
      <c r="F995" s="47" t="str">
        <f>IF(wskakunin_gaiyou1_KOUJI_SONOTA=1,"■","□")</f>
        <v>□</v>
      </c>
    </row>
    <row r="996" spans="1:6" ht="12">
      <c r="A996" s="14"/>
      <c r="B996" s="77" t="s">
        <v>1932</v>
      </c>
      <c r="C996" s="21" t="s">
        <v>1933</v>
      </c>
      <c r="D996" s="47"/>
      <c r="E996" s="21" t="s">
        <v>1934</v>
      </c>
      <c r="F996" s="47" t="str">
        <f>IF(wskakunin_gaiyou1_KOUJI_SONOTA_TEXT="","",wskakunin_gaiyou1_KOUJI_SONOTA_TEXT)</f>
        <v/>
      </c>
    </row>
    <row r="997" spans="1:6" ht="12">
      <c r="A997" s="14"/>
      <c r="B997" s="160"/>
      <c r="D997" s="22"/>
      <c r="F997" s="22"/>
    </row>
    <row r="998" spans="1:6" ht="12">
      <c r="A998" s="14"/>
      <c r="B998" s="160" t="s">
        <v>1935</v>
      </c>
      <c r="C998" s="21" t="s">
        <v>1936</v>
      </c>
      <c r="D998" s="162"/>
      <c r="E998" s="21" t="s">
        <v>1937</v>
      </c>
      <c r="F998" s="162" t="str">
        <f>IF(wskakunin_gaiyou1_TIKUZOU_MENSEKI_SHINSEI="","",wskakunin_gaiyou1_TIKUZOU_MENSEKI_SHINSEI)</f>
        <v/>
      </c>
    </row>
    <row r="999" spans="1:6" ht="12">
      <c r="A999" s="14"/>
      <c r="B999" s="160" t="s">
        <v>1938</v>
      </c>
      <c r="C999" s="21" t="s">
        <v>1939</v>
      </c>
      <c r="D999" s="162"/>
      <c r="E999" s="21" t="s">
        <v>1940</v>
      </c>
      <c r="F999" s="162" t="str">
        <f>IF(wskakunin_gaiyou1_TIKUZOU_MENSEKI_IGAI="","",wskakunin_gaiyou1_TIKUZOU_MENSEKI_IGAI)</f>
        <v/>
      </c>
    </row>
    <row r="1000" spans="1:6" ht="12">
      <c r="A1000" s="14"/>
      <c r="B1000" s="160" t="s">
        <v>1941</v>
      </c>
      <c r="C1000" s="21" t="s">
        <v>1942</v>
      </c>
      <c r="D1000" s="162"/>
      <c r="E1000" s="21" t="s">
        <v>1943</v>
      </c>
      <c r="F1000" s="162" t="str">
        <f>IF(wskakunin_gaiyou1_TIKUZOU_MENSEKI_TOTAL="","",wskakunin_gaiyou1_TIKUZOU_MENSEKI_TOTAL)</f>
        <v/>
      </c>
    </row>
    <row r="1001" spans="1:6" ht="12">
      <c r="A1001" s="14"/>
      <c r="B1001" s="160" t="s">
        <v>1944</v>
      </c>
      <c r="C1001" s="21" t="s">
        <v>1945</v>
      </c>
      <c r="D1001" s="162"/>
      <c r="E1001" s="21" t="s">
        <v>1946</v>
      </c>
      <c r="F1001" s="162" t="str">
        <f>IF(wskakunin_gaiyou1_WORK_COUNT_SHINSEI="","",wskakunin_gaiyou1_WORK_COUNT_SHINSEI)</f>
        <v/>
      </c>
    </row>
    <row r="1002" spans="1:6" ht="12">
      <c r="A1002" s="14"/>
      <c r="B1002" s="160" t="s">
        <v>1947</v>
      </c>
      <c r="C1002" s="21" t="s">
        <v>1948</v>
      </c>
      <c r="D1002" s="162"/>
      <c r="E1002" s="21" t="s">
        <v>1949</v>
      </c>
      <c r="F1002" s="162" t="str">
        <f>IF(wskakunin_gaiyou1_WORK_COUNT_IGAI="","",wskakunin_gaiyou1_WORK_COUNT_IGAI)</f>
        <v/>
      </c>
    </row>
    <row r="1003" spans="1:6" ht="12">
      <c r="A1003" s="14"/>
      <c r="B1003" s="160" t="s">
        <v>1950</v>
      </c>
      <c r="C1003" s="21" t="s">
        <v>1951</v>
      </c>
      <c r="D1003" s="162"/>
      <c r="E1003" s="21" t="s">
        <v>1952</v>
      </c>
      <c r="F1003" s="162" t="str">
        <f>IF(wskakunin_gaiyou1_WORK_COUNT_TOTAL="","",wskakunin_gaiyou1_WORK_COUNT_TOTAL)</f>
        <v/>
      </c>
    </row>
    <row r="1004" spans="1:6" ht="12">
      <c r="A1004" s="147"/>
      <c r="B1004" s="151"/>
      <c r="D1004" s="22"/>
    </row>
    <row r="1005" spans="1:6" ht="12">
      <c r="A1005" s="14" t="s">
        <v>1953</v>
      </c>
      <c r="B1005" s="146"/>
      <c r="D1005" s="22"/>
    </row>
    <row r="1006" spans="1:6" ht="12">
      <c r="A1006" s="14"/>
      <c r="B1006" s="160" t="s">
        <v>1954</v>
      </c>
      <c r="C1006" s="21" t="s">
        <v>1955</v>
      </c>
      <c r="D1006" s="162"/>
      <c r="E1006" s="21" t="s">
        <v>1956</v>
      </c>
      <c r="F1006" s="162" t="str">
        <f>IF(wskakunin_gaiyou1_NO="","",wskakunin_gaiyou1_NO)</f>
        <v/>
      </c>
    </row>
    <row r="1007" spans="1:6" ht="12">
      <c r="A1007" s="14"/>
      <c r="B1007" s="160" t="s">
        <v>1957</v>
      </c>
      <c r="C1007" s="21" t="s">
        <v>1958</v>
      </c>
      <c r="D1007" s="162"/>
      <c r="E1007" s="21" t="s">
        <v>1959</v>
      </c>
      <c r="F1007" s="162" t="str">
        <f>IF(wskakunin_gaiyou1_EV_KIND="","",wskakunin_gaiyou1_EV_KIND)</f>
        <v/>
      </c>
    </row>
    <row r="1008" spans="1:6" ht="12">
      <c r="A1008" s="14"/>
      <c r="B1008" s="160" t="s">
        <v>1960</v>
      </c>
      <c r="C1008" s="21" t="s">
        <v>1961</v>
      </c>
      <c r="D1008" s="162"/>
      <c r="E1008" s="21" t="s">
        <v>1962</v>
      </c>
      <c r="F1008" s="162" t="str">
        <f>IF(wskakunin_gaiyou1_YOUTO="","",wskakunin_gaiyou1_YOUTO)</f>
        <v/>
      </c>
    </row>
    <row r="1009" spans="1:6" ht="12">
      <c r="A1009" s="14"/>
      <c r="B1009" s="160" t="s">
        <v>1963</v>
      </c>
      <c r="C1009" s="21" t="s">
        <v>1964</v>
      </c>
      <c r="D1009" s="162"/>
      <c r="E1009" s="21" t="s">
        <v>1965</v>
      </c>
      <c r="F1009" s="162" t="str">
        <f>IF(wskakunin_gaiyou1_SEKISAI="","",wskakunin_gaiyou1_SEKISAI)</f>
        <v/>
      </c>
    </row>
    <row r="1010" spans="1:6" ht="12">
      <c r="A1010" s="14"/>
      <c r="B1010" s="160" t="s">
        <v>1966</v>
      </c>
      <c r="C1010" s="21" t="s">
        <v>1967</v>
      </c>
      <c r="D1010" s="162"/>
      <c r="E1010" s="21" t="s">
        <v>1968</v>
      </c>
      <c r="F1010" s="162" t="str">
        <f>IF(wskakunin_gaiyou1_TEIIN="","",wskakunin_gaiyou1_TEIIN)</f>
        <v/>
      </c>
    </row>
    <row r="1011" spans="1:6" ht="12">
      <c r="A1011" s="14"/>
      <c r="B1011" s="160" t="s">
        <v>1969</v>
      </c>
      <c r="C1011" s="21" t="s">
        <v>1970</v>
      </c>
      <c r="D1011" s="162"/>
      <c r="E1011" s="21" t="s">
        <v>1971</v>
      </c>
      <c r="F1011" s="162" t="str">
        <f>IF(wskakunin_gaiyou1_SPEED="","",wskakunin_gaiyou1_SPEED)</f>
        <v/>
      </c>
    </row>
    <row r="1012" spans="1:6" ht="12">
      <c r="A1012" s="14"/>
      <c r="B1012" s="160" t="s">
        <v>1972</v>
      </c>
      <c r="C1012" s="21" t="s">
        <v>1973</v>
      </c>
      <c r="D1012" s="162"/>
      <c r="E1012" s="21" t="s">
        <v>1974</v>
      </c>
      <c r="F1012" s="162" t="str">
        <f>IF(wskakunin_gaiyou1_SONOTA="","",wskakunin_gaiyou1_SONOTA)</f>
        <v/>
      </c>
    </row>
    <row r="1013" spans="1:6" ht="12">
      <c r="A1013" s="14"/>
      <c r="B1013" s="160" t="s">
        <v>1975</v>
      </c>
      <c r="C1013" s="21" t="s">
        <v>1976</v>
      </c>
      <c r="D1013" s="162"/>
      <c r="E1013" s="21" t="s">
        <v>1977</v>
      </c>
      <c r="F1013" s="162" t="str">
        <f>IF(wskakunin_gaiyou1_NINSYOU_NO="","",wskakunin_gaiyou1_NINSYOU_NO)</f>
        <v/>
      </c>
    </row>
    <row r="1014" spans="1:6" ht="12">
      <c r="A1014" s="14"/>
      <c r="B1014" s="160" t="s">
        <v>1978</v>
      </c>
      <c r="C1014" s="21" t="s">
        <v>1979</v>
      </c>
      <c r="D1014" s="162"/>
      <c r="E1014" s="21" t="s">
        <v>1980</v>
      </c>
      <c r="F1014" s="162" t="str">
        <f>IF(wskakunin_gaiyou1_SONOTA_and_NINSYOU_NO="","",wskakunin_gaiyou1_SONOTA_and_NINSYOU_NO)</f>
        <v/>
      </c>
    </row>
    <row r="1015" spans="1:6" ht="12">
      <c r="A1015" s="14"/>
      <c r="B1015" s="151"/>
      <c r="D1015" s="22"/>
    </row>
    <row r="1016" spans="1:6" ht="12">
      <c r="A1016" s="8" t="s">
        <v>1981</v>
      </c>
      <c r="B1016" s="31"/>
      <c r="D1016" s="22"/>
      <c r="F1016" s="22"/>
    </row>
    <row r="1017" spans="1:6" ht="12">
      <c r="A1017" s="14"/>
      <c r="B1017" s="150" t="s">
        <v>1982</v>
      </c>
      <c r="C1017" s="21" t="s">
        <v>1983</v>
      </c>
      <c r="D1017" s="274" t="s">
        <v>112</v>
      </c>
      <c r="E1017" s="21" t="s">
        <v>1984</v>
      </c>
      <c r="F1017" s="274" t="str">
        <f>IF(wskakunin_KENTIKU_MENSEKI_SHINSEI="", "", wskakunin_KENTIKU_MENSEKI_SHINSEI)</f>
        <v/>
      </c>
    </row>
    <row r="1018" spans="1:6" ht="12">
      <c r="A1018" s="14"/>
      <c r="B1018" s="150" t="s">
        <v>1985</v>
      </c>
      <c r="C1018" s="21" t="s">
        <v>1986</v>
      </c>
      <c r="D1018" s="274" t="s">
        <v>112</v>
      </c>
      <c r="E1018" s="21" t="s">
        <v>1987</v>
      </c>
      <c r="F1018" s="274" t="str">
        <f>IF(wskakunin_KENTIKU_MENSEKI_IGAI="","",wskakunin_KENTIKU_MENSEKI_IGAI)</f>
        <v/>
      </c>
    </row>
    <row r="1019" spans="1:6" ht="12">
      <c r="A1019" s="14"/>
      <c r="B1019" s="150" t="s">
        <v>1988</v>
      </c>
      <c r="C1019" s="21" t="s">
        <v>1989</v>
      </c>
      <c r="D1019" s="274" t="s">
        <v>112</v>
      </c>
      <c r="E1019" s="21" t="s">
        <v>1990</v>
      </c>
      <c r="F1019" s="274" t="str">
        <f>IF(wskakunin_KENTIKU_MENSEKI_TOTAL="","",wskakunin_KENTIKU_MENSEKI_TOTAL)</f>
        <v/>
      </c>
    </row>
    <row r="1020" spans="1:6" ht="12">
      <c r="A1020" s="14"/>
      <c r="B1020" s="150" t="s">
        <v>1839</v>
      </c>
      <c r="C1020" s="21" t="s">
        <v>1991</v>
      </c>
      <c r="D1020" s="274" t="s">
        <v>112</v>
      </c>
      <c r="E1020" s="21" t="s">
        <v>1992</v>
      </c>
      <c r="F1020" s="274" t="str">
        <f>IF(wskakunin_KENPEI_RITU="","",wskakunin_KENPEI_RITU)</f>
        <v/>
      </c>
    </row>
    <row r="1021" spans="1:6" ht="12">
      <c r="A1021" s="147"/>
      <c r="B1021" s="151"/>
    </row>
    <row r="1022" spans="1:6" ht="12">
      <c r="A1022" s="70" t="s">
        <v>1993</v>
      </c>
      <c r="B1022" s="71"/>
      <c r="D1022" s="22"/>
      <c r="F1022" s="22"/>
    </row>
    <row r="1023" spans="1:6" ht="12">
      <c r="A1023" s="14" t="s">
        <v>1994</v>
      </c>
      <c r="B1023" s="146"/>
      <c r="D1023" s="22"/>
      <c r="F1023" s="22"/>
    </row>
    <row r="1024" spans="1:6" ht="12">
      <c r="A1024" s="14"/>
      <c r="B1024" s="150" t="s">
        <v>1982</v>
      </c>
      <c r="C1024" s="21" t="s">
        <v>1995</v>
      </c>
      <c r="D1024" s="273" t="s">
        <v>112</v>
      </c>
      <c r="E1024" s="21" t="s">
        <v>1996</v>
      </c>
      <c r="F1024" s="273" t="str">
        <f>IF(wskakunin_NOBE_MENSEKI_BUILD_SHINSEI="", "", wskakunin_NOBE_MENSEKI_BUILD_SHINSEI)</f>
        <v/>
      </c>
    </row>
    <row r="1025" spans="1:6" ht="12">
      <c r="A1025" s="14"/>
      <c r="B1025" s="150" t="s">
        <v>1985</v>
      </c>
      <c r="C1025" s="21" t="s">
        <v>1997</v>
      </c>
      <c r="D1025" s="273" t="s">
        <v>112</v>
      </c>
      <c r="E1025" s="21" t="s">
        <v>1998</v>
      </c>
      <c r="F1025" s="273" t="str">
        <f>IF(wskakunin_NOBE_MENSEKI_BUILD_IGAI="","",wskakunin_NOBE_MENSEKI_BUILD_IGAI)</f>
        <v/>
      </c>
    </row>
    <row r="1026" spans="1:6" ht="12">
      <c r="A1026" s="14"/>
      <c r="B1026" s="150" t="s">
        <v>1988</v>
      </c>
      <c r="C1026" s="21" t="s">
        <v>1999</v>
      </c>
      <c r="D1026" s="273" t="s">
        <v>112</v>
      </c>
      <c r="E1026" s="21" t="s">
        <v>2000</v>
      </c>
      <c r="F1026" s="273" t="str">
        <f>IF(wskakunin_NOBE_MENSEKI_BUILD_TOTAL="","",wskakunin_NOBE_MENSEKI_BUILD_TOTAL)</f>
        <v/>
      </c>
    </row>
    <row r="1027" spans="1:6" ht="12">
      <c r="A1027" s="14"/>
      <c r="B1027" s="160"/>
      <c r="D1027" s="111"/>
      <c r="F1027" s="111"/>
    </row>
    <row r="1028" spans="1:6" ht="12">
      <c r="A1028" s="148" t="s">
        <v>2001</v>
      </c>
      <c r="B1028" s="149"/>
      <c r="D1028" s="111"/>
      <c r="F1028" s="111"/>
    </row>
    <row r="1029" spans="1:6" ht="12">
      <c r="A1029" s="14"/>
      <c r="B1029" s="150" t="s">
        <v>1982</v>
      </c>
      <c r="C1029" s="21" t="s">
        <v>2002</v>
      </c>
      <c r="D1029" s="273" t="s">
        <v>112</v>
      </c>
      <c r="E1029" s="21" t="s">
        <v>2003</v>
      </c>
      <c r="F1029" s="273" t="str">
        <f>IF(wskakunin_NOBE_MENSEKI_TIKAI_SHINSEI="","",wskakunin_NOBE_MENSEKI_TIKAI_SHINSEI)</f>
        <v/>
      </c>
    </row>
    <row r="1030" spans="1:6" ht="12">
      <c r="A1030" s="14"/>
      <c r="B1030" s="150" t="s">
        <v>1985</v>
      </c>
      <c r="C1030" s="21" t="s">
        <v>2004</v>
      </c>
      <c r="D1030" s="273" t="s">
        <v>112</v>
      </c>
      <c r="E1030" s="21" t="s">
        <v>2005</v>
      </c>
      <c r="F1030" s="273" t="str">
        <f>IF(wskakunin_NOBE_MENSEKI_TIKAI_IGAI="","",wskakunin_NOBE_MENSEKI_TIKAI_IGAI)</f>
        <v/>
      </c>
    </row>
    <row r="1031" spans="1:6" ht="12">
      <c r="A1031" s="14"/>
      <c r="B1031" s="150" t="s">
        <v>1988</v>
      </c>
      <c r="C1031" s="21" t="s">
        <v>2006</v>
      </c>
      <c r="D1031" s="273" t="s">
        <v>112</v>
      </c>
      <c r="E1031" s="21" t="s">
        <v>2007</v>
      </c>
      <c r="F1031" s="273" t="str">
        <f>IF(wskakunin_NOBE_MENSEKI_TIKAI_TOTAL="","",wskakunin_NOBE_MENSEKI_TIKAI_TOTAL)</f>
        <v/>
      </c>
    </row>
    <row r="1032" spans="1:6" ht="12">
      <c r="A1032" s="73"/>
      <c r="B1032" s="150"/>
      <c r="D1032" s="111"/>
      <c r="F1032" s="111"/>
    </row>
    <row r="1033" spans="1:6" ht="12">
      <c r="A1033" s="148" t="s">
        <v>2008</v>
      </c>
      <c r="B1033" s="149"/>
      <c r="D1033" s="111"/>
      <c r="F1033" s="111"/>
    </row>
    <row r="1034" spans="1:6" ht="12">
      <c r="A1034" s="14"/>
      <c r="B1034" s="150" t="s">
        <v>1982</v>
      </c>
      <c r="C1034" s="21" t="s">
        <v>2009</v>
      </c>
      <c r="D1034" s="273" t="s">
        <v>112</v>
      </c>
      <c r="E1034" s="21" t="s">
        <v>2010</v>
      </c>
      <c r="F1034" s="273" t="str">
        <f>IF(wskakunin_NOBE_MENSEKI_SYOUKOURO_SHINSEI="","",wskakunin_NOBE_MENSEKI_SYOUKOURO_SHINSEI)</f>
        <v/>
      </c>
    </row>
    <row r="1035" spans="1:6" ht="12">
      <c r="A1035" s="14"/>
      <c r="B1035" s="150" t="s">
        <v>1985</v>
      </c>
      <c r="C1035" s="21" t="s">
        <v>2011</v>
      </c>
      <c r="D1035" s="273" t="s">
        <v>112</v>
      </c>
      <c r="E1035" s="21" t="s">
        <v>2012</v>
      </c>
      <c r="F1035" s="273" t="str">
        <f>IF(wskakunin_NOBE_MENSEKI_SYOUKOURO_IGAI="","",wskakunin_NOBE_MENSEKI_SYOUKOURO_IGAI)</f>
        <v/>
      </c>
    </row>
    <row r="1036" spans="1:6" ht="12">
      <c r="A1036" s="14"/>
      <c r="B1036" s="150" t="s">
        <v>1988</v>
      </c>
      <c r="C1036" s="21" t="s">
        <v>2013</v>
      </c>
      <c r="D1036" s="273" t="s">
        <v>112</v>
      </c>
      <c r="E1036" s="21" t="s">
        <v>2014</v>
      </c>
      <c r="F1036" s="273" t="str">
        <f>IF(wskakunin_NOBE_MENSEKI_SYOUKOURO_TOTAL="","",wskakunin_NOBE_MENSEKI_SYOUKOURO_TOTAL)</f>
        <v/>
      </c>
    </row>
    <row r="1037" spans="1:6" ht="12">
      <c r="A1037" s="73"/>
      <c r="B1037" s="150"/>
      <c r="D1037" s="111"/>
      <c r="F1037" s="111"/>
    </row>
    <row r="1038" spans="1:6" ht="12">
      <c r="A1038" s="148" t="s">
        <v>2015</v>
      </c>
      <c r="B1038" s="149"/>
      <c r="D1038" s="111"/>
      <c r="F1038" s="111"/>
    </row>
    <row r="1039" spans="1:6" ht="12">
      <c r="A1039" s="14"/>
      <c r="B1039" s="150" t="s">
        <v>1982</v>
      </c>
      <c r="C1039" s="21" t="s">
        <v>2016</v>
      </c>
      <c r="D1039" s="273" t="s">
        <v>112</v>
      </c>
      <c r="E1039" s="21" t="s">
        <v>2017</v>
      </c>
      <c r="F1039" s="273" t="str">
        <f>IF(wskakunin_NOBE_MENSEKI_KYOYOU_SHINSEI="","",wskakunin_NOBE_MENSEKI_KYOYOU_SHINSEI)</f>
        <v/>
      </c>
    </row>
    <row r="1040" spans="1:6" ht="12">
      <c r="A1040" s="14"/>
      <c r="B1040" s="150" t="s">
        <v>1985</v>
      </c>
      <c r="C1040" s="21" t="s">
        <v>2018</v>
      </c>
      <c r="D1040" s="273" t="s">
        <v>112</v>
      </c>
      <c r="E1040" s="21" t="s">
        <v>2019</v>
      </c>
      <c r="F1040" s="273" t="str">
        <f>IF(wskakunin_NOBE_MENSEKI_KYOYOU_IGAI="","",wskakunin_NOBE_MENSEKI_KYOYOU_IGAI)</f>
        <v/>
      </c>
    </row>
    <row r="1041" spans="1:6" ht="12">
      <c r="A1041" s="14"/>
      <c r="B1041" s="150" t="s">
        <v>1988</v>
      </c>
      <c r="C1041" s="21" t="s">
        <v>2020</v>
      </c>
      <c r="D1041" s="273" t="s">
        <v>112</v>
      </c>
      <c r="E1041" s="21" t="s">
        <v>2021</v>
      </c>
      <c r="F1041" s="273" t="str">
        <f>IF(wskakunin_NOBE_MENSEKI_KYOYOU_TOTAL="","",wskakunin_NOBE_MENSEKI_KYOYOU_TOTAL)</f>
        <v/>
      </c>
    </row>
    <row r="1042" spans="1:6" ht="12">
      <c r="A1042" s="73"/>
      <c r="B1042" s="150"/>
      <c r="D1042" s="111"/>
      <c r="F1042" s="111"/>
    </row>
    <row r="1043" spans="1:6" ht="12">
      <c r="A1043" s="148" t="s">
        <v>2022</v>
      </c>
      <c r="B1043" s="149"/>
      <c r="D1043" s="111"/>
      <c r="F1043" s="111"/>
    </row>
    <row r="1044" spans="1:6" ht="12">
      <c r="A1044" s="14"/>
      <c r="B1044" s="150" t="s">
        <v>1982</v>
      </c>
      <c r="C1044" s="21" t="s">
        <v>2023</v>
      </c>
      <c r="D1044" s="273" t="s">
        <v>112</v>
      </c>
      <c r="E1044" s="21" t="s">
        <v>2024</v>
      </c>
      <c r="F1044" s="273" t="str">
        <f>IF(wskakunin_NOBE_MENSEKI_SYAKO_SHINSEI="","",wskakunin_NOBE_MENSEKI_SYAKO_SHINSEI)</f>
        <v/>
      </c>
    </row>
    <row r="1045" spans="1:6" ht="12">
      <c r="A1045" s="14"/>
      <c r="B1045" s="150" t="s">
        <v>1985</v>
      </c>
      <c r="C1045" s="21" t="s">
        <v>2025</v>
      </c>
      <c r="D1045" s="273" t="s">
        <v>112</v>
      </c>
      <c r="E1045" s="21" t="s">
        <v>2026</v>
      </c>
      <c r="F1045" s="273" t="str">
        <f>IF(wskakunin_NOBE_MENSEKI_SYAKO_IGAI="","",wskakunin_NOBE_MENSEKI_SYAKO_IGAI)</f>
        <v/>
      </c>
    </row>
    <row r="1046" spans="1:6" ht="12">
      <c r="A1046" s="14"/>
      <c r="B1046" s="150" t="s">
        <v>1988</v>
      </c>
      <c r="C1046" s="21" t="s">
        <v>2027</v>
      </c>
      <c r="D1046" s="273" t="s">
        <v>112</v>
      </c>
      <c r="E1046" s="21" t="s">
        <v>2028</v>
      </c>
      <c r="F1046" s="273" t="str">
        <f>IF(wskakunin_NOBE_MENSEKI_SYAKO_TOTAL="","",wskakunin_NOBE_MENSEKI_SYAKO_TOTAL)</f>
        <v/>
      </c>
    </row>
    <row r="1047" spans="1:6" ht="12">
      <c r="A1047" s="73"/>
      <c r="B1047" s="150"/>
      <c r="D1047" s="111"/>
      <c r="F1047" s="111"/>
    </row>
    <row r="1048" spans="1:6" ht="12">
      <c r="A1048" s="148" t="s">
        <v>2029</v>
      </c>
      <c r="B1048" s="149"/>
      <c r="D1048" s="111"/>
      <c r="F1048" s="111"/>
    </row>
    <row r="1049" spans="1:6" ht="12">
      <c r="A1049" s="14"/>
      <c r="B1049" s="150" t="s">
        <v>1982</v>
      </c>
      <c r="C1049" s="21" t="s">
        <v>2030</v>
      </c>
      <c r="D1049" s="273" t="s">
        <v>112</v>
      </c>
      <c r="E1049" s="21" t="s">
        <v>2031</v>
      </c>
      <c r="F1049" s="273" t="str">
        <f>IF(wskakunin_NOBE_MENSEKI_BITIKUSOUKO_SHINSEI="","",wskakunin_NOBE_MENSEKI_BITIKUSOUKO_SHINSEI)</f>
        <v/>
      </c>
    </row>
    <row r="1050" spans="1:6" ht="12">
      <c r="A1050" s="14"/>
      <c r="B1050" s="150" t="s">
        <v>1985</v>
      </c>
      <c r="C1050" s="21" t="s">
        <v>2032</v>
      </c>
      <c r="D1050" s="273" t="s">
        <v>112</v>
      </c>
      <c r="E1050" s="21" t="s">
        <v>2033</v>
      </c>
      <c r="F1050" s="273" t="str">
        <f>IF(wskakunin_NOBE_MENSEKI_BITIKUSOUKO_IGAI="","",wskakunin_NOBE_MENSEKI_BITIKUSOUKO_IGAI)</f>
        <v/>
      </c>
    </row>
    <row r="1051" spans="1:6" ht="12">
      <c r="A1051" s="14"/>
      <c r="B1051" s="150" t="s">
        <v>1988</v>
      </c>
      <c r="C1051" s="21" t="s">
        <v>2034</v>
      </c>
      <c r="D1051" s="273" t="s">
        <v>112</v>
      </c>
      <c r="E1051" s="21" t="s">
        <v>2035</v>
      </c>
      <c r="F1051" s="273" t="str">
        <f>IF(wskakunin_NOBE_MENSEKI_BITIKUSOUKO_TOTAL="","",wskakunin_NOBE_MENSEKI_BITIKUSOUKO_TOTAL)</f>
        <v/>
      </c>
    </row>
    <row r="1052" spans="1:6" ht="12">
      <c r="A1052" s="73"/>
      <c r="B1052" s="150"/>
      <c r="D1052" s="111"/>
      <c r="F1052" s="111"/>
    </row>
    <row r="1053" spans="1:6" ht="12">
      <c r="A1053" s="148" t="s">
        <v>2036</v>
      </c>
      <c r="B1053" s="149"/>
      <c r="D1053" s="111"/>
      <c r="F1053" s="111"/>
    </row>
    <row r="1054" spans="1:6" ht="12">
      <c r="A1054" s="14"/>
      <c r="B1054" s="150" t="s">
        <v>1982</v>
      </c>
      <c r="C1054" s="21" t="s">
        <v>2037</v>
      </c>
      <c r="D1054" s="273" t="s">
        <v>112</v>
      </c>
      <c r="E1054" s="21" t="s">
        <v>2038</v>
      </c>
      <c r="F1054" s="273" t="str">
        <f>IF(wskakunin_NOBE_MENSEKI_TIKUDENTI_SHINSEI="","",wskakunin_NOBE_MENSEKI_TIKUDENTI_SHINSEI)</f>
        <v/>
      </c>
    </row>
    <row r="1055" spans="1:6" ht="12">
      <c r="A1055" s="14"/>
      <c r="B1055" s="150" t="s">
        <v>1985</v>
      </c>
      <c r="C1055" s="21" t="s">
        <v>2039</v>
      </c>
      <c r="D1055" s="273" t="s">
        <v>112</v>
      </c>
      <c r="E1055" s="21" t="s">
        <v>2040</v>
      </c>
      <c r="F1055" s="273" t="str">
        <f>IF(wskakunin_NOBE_MENSEKI_TIKUDENTI_IGAI="","",wskakunin_NOBE_MENSEKI_TIKUDENTI_IGAI)</f>
        <v/>
      </c>
    </row>
    <row r="1056" spans="1:6" ht="12">
      <c r="A1056" s="14"/>
      <c r="B1056" s="150" t="s">
        <v>1988</v>
      </c>
      <c r="C1056" s="21" t="s">
        <v>2041</v>
      </c>
      <c r="D1056" s="273" t="s">
        <v>112</v>
      </c>
      <c r="E1056" s="21" t="s">
        <v>2042</v>
      </c>
      <c r="F1056" s="273" t="str">
        <f>IF(wskakunin_NOBE_MENSEKI_TIKUDENTI_TOTAL="","",wskakunin_NOBE_MENSEKI_TIKUDENTI_TOTAL)</f>
        <v/>
      </c>
    </row>
    <row r="1057" spans="1:7" ht="12">
      <c r="A1057" s="73"/>
      <c r="B1057" s="150"/>
      <c r="D1057" s="111"/>
      <c r="F1057" s="111"/>
    </row>
    <row r="1058" spans="1:7" ht="12">
      <c r="A1058" s="148" t="s">
        <v>2043</v>
      </c>
      <c r="B1058" s="149"/>
      <c r="D1058" s="111"/>
      <c r="F1058" s="111"/>
    </row>
    <row r="1059" spans="1:7" ht="12">
      <c r="A1059" s="14"/>
      <c r="B1059" s="150" t="s">
        <v>1982</v>
      </c>
      <c r="C1059" s="21" t="s">
        <v>2044</v>
      </c>
      <c r="D1059" s="273" t="s">
        <v>112</v>
      </c>
      <c r="E1059" s="21" t="s">
        <v>2045</v>
      </c>
      <c r="F1059" s="273" t="str">
        <f>IF(wskakunin_NOBE_MENSEKI_JIKAHATUDEN_SHINSEI="","",wskakunin_NOBE_MENSEKI_JIKAHATUDEN_SHINSEI)</f>
        <v/>
      </c>
    </row>
    <row r="1060" spans="1:7" ht="12">
      <c r="A1060" s="14"/>
      <c r="B1060" s="150" t="s">
        <v>1985</v>
      </c>
      <c r="C1060" s="21" t="s">
        <v>2046</v>
      </c>
      <c r="D1060" s="273" t="s">
        <v>112</v>
      </c>
      <c r="E1060" s="21" t="s">
        <v>2047</v>
      </c>
      <c r="F1060" s="273" t="str">
        <f>IF(wskakunin_NOBE_MENSEKI_JIKAHATUDEN_IGAI="","",wskakunin_NOBE_MENSEKI_JIKAHATUDEN_IGAI)</f>
        <v/>
      </c>
      <c r="G1060" s="21" t="s">
        <v>1829</v>
      </c>
    </row>
    <row r="1061" spans="1:7" ht="12">
      <c r="A1061" s="14"/>
      <c r="B1061" s="150" t="s">
        <v>1988</v>
      </c>
      <c r="C1061" s="21" t="s">
        <v>2048</v>
      </c>
      <c r="D1061" s="273" t="s">
        <v>112</v>
      </c>
      <c r="E1061" s="21" t="s">
        <v>2049</v>
      </c>
      <c r="F1061" s="273" t="str">
        <f>IF(wskakunin_NOBE_MENSEKI_JIKAHATUDEN_TOTAL="","",wskakunin_NOBE_MENSEKI_JIKAHATUDEN_TOTAL)</f>
        <v/>
      </c>
      <c r="G1061" s="21" t="s">
        <v>2050</v>
      </c>
    </row>
    <row r="1062" spans="1:7" ht="12">
      <c r="A1062" s="73"/>
      <c r="B1062" s="150"/>
      <c r="D1062" s="111"/>
      <c r="F1062" s="111"/>
    </row>
    <row r="1063" spans="1:7" ht="12">
      <c r="A1063" s="148" t="s">
        <v>2051</v>
      </c>
      <c r="B1063" s="149"/>
      <c r="D1063" s="111"/>
      <c r="F1063" s="111"/>
    </row>
    <row r="1064" spans="1:7" ht="12">
      <c r="A1064" s="14"/>
      <c r="B1064" s="150" t="s">
        <v>1982</v>
      </c>
      <c r="C1064" s="21" t="s">
        <v>2052</v>
      </c>
      <c r="D1064" s="273" t="s">
        <v>112</v>
      </c>
      <c r="E1064" s="21" t="s">
        <v>2053</v>
      </c>
      <c r="F1064" s="273" t="str">
        <f>IF(wskakunin_NOBE_MENSEKI_CHOSUISOU_SHINSEI="","",wskakunin_NOBE_MENSEKI_CHOSUISOU_SHINSEI)</f>
        <v/>
      </c>
      <c r="G1064" s="21" t="s">
        <v>1829</v>
      </c>
    </row>
    <row r="1065" spans="1:7" ht="12">
      <c r="A1065" s="14"/>
      <c r="B1065" s="150" t="s">
        <v>1985</v>
      </c>
      <c r="C1065" s="21" t="s">
        <v>2054</v>
      </c>
      <c r="D1065" s="273" t="s">
        <v>112</v>
      </c>
      <c r="E1065" s="21" t="s">
        <v>2055</v>
      </c>
      <c r="F1065" s="273" t="str">
        <f>IF(wskakunin_NOBE_MENSEKI_CHOSUISOU_IGAI="","",wskakunin_NOBE_MENSEKI_CHOSUISOU_IGAI)</f>
        <v/>
      </c>
      <c r="G1065" s="21" t="s">
        <v>1829</v>
      </c>
    </row>
    <row r="1066" spans="1:7" ht="12">
      <c r="A1066" s="14"/>
      <c r="B1066" s="150" t="s">
        <v>1988</v>
      </c>
      <c r="C1066" s="21" t="s">
        <v>2056</v>
      </c>
      <c r="D1066" s="273" t="s">
        <v>112</v>
      </c>
      <c r="E1066" s="21" t="s">
        <v>2057</v>
      </c>
      <c r="F1066" s="273" t="str">
        <f>IF(wskakunin_NOBE_MENSEKI_CHOSUISOU_TOTAL="","",wskakunin_NOBE_MENSEKI_CHOSUISOU_TOTAL)</f>
        <v/>
      </c>
      <c r="G1066" s="21" t="s">
        <v>1829</v>
      </c>
    </row>
    <row r="1067" spans="1:7" ht="12">
      <c r="A1067" s="73"/>
      <c r="B1067" s="150"/>
      <c r="D1067" s="111"/>
      <c r="F1067" s="111"/>
    </row>
    <row r="1068" spans="1:7" ht="12">
      <c r="A1068" s="687" t="s">
        <v>2058</v>
      </c>
      <c r="B1068" s="688"/>
      <c r="D1068" s="111"/>
      <c r="F1068" s="111"/>
    </row>
    <row r="1069" spans="1:7" ht="12">
      <c r="A1069" s="14"/>
      <c r="B1069" s="150" t="s">
        <v>1982</v>
      </c>
      <c r="C1069" s="21" t="s">
        <v>2059</v>
      </c>
      <c r="D1069" s="273" t="s">
        <v>112</v>
      </c>
      <c r="E1069" s="21" t="s">
        <v>2060</v>
      </c>
      <c r="F1069" s="273" t="str">
        <f>IF(wskakunin_NOBE_MENSEKI_TAKUHAI_SHINSEI="","",wskakunin_NOBE_MENSEKI_TAKUHAI_SHINSEI)</f>
        <v/>
      </c>
    </row>
    <row r="1070" spans="1:7" ht="12">
      <c r="A1070" s="14"/>
      <c r="B1070" s="150" t="s">
        <v>1985</v>
      </c>
      <c r="C1070" s="21" t="s">
        <v>2061</v>
      </c>
      <c r="D1070" s="273" t="s">
        <v>112</v>
      </c>
      <c r="E1070" s="21" t="s">
        <v>2062</v>
      </c>
      <c r="F1070" s="273" t="str">
        <f>IF(wskakunin_NOBE_MENSEKI_TAKUHAI_IGAI="","",wskakunin_NOBE_MENSEKI_TAKUHAI_IGAI)</f>
        <v/>
      </c>
    </row>
    <row r="1071" spans="1:7" ht="12">
      <c r="A1071" s="14"/>
      <c r="B1071" s="150" t="s">
        <v>1988</v>
      </c>
      <c r="C1071" s="21" t="s">
        <v>2063</v>
      </c>
      <c r="D1071" s="273" t="s">
        <v>112</v>
      </c>
      <c r="E1071" s="21" t="s">
        <v>2064</v>
      </c>
      <c r="F1071" s="273" t="str">
        <f>IF(wskakunin_NOBE_MENSEKI_TAKUHAI_TOTAL="","",wskakunin_NOBE_MENSEKI_TAKUHAI_TOTAL)</f>
        <v/>
      </c>
    </row>
    <row r="1072" spans="1:7" ht="12">
      <c r="A1072" s="14"/>
      <c r="B1072" s="150"/>
      <c r="D1072" s="111"/>
      <c r="F1072" s="111"/>
    </row>
    <row r="1073" spans="1:6" ht="12">
      <c r="A1073" s="148" t="s">
        <v>2065</v>
      </c>
      <c r="B1073" s="149"/>
      <c r="D1073" s="111"/>
      <c r="F1073" s="111"/>
    </row>
    <row r="1074" spans="1:6" ht="12">
      <c r="A1074" s="14"/>
      <c r="B1074" s="150" t="s">
        <v>1982</v>
      </c>
      <c r="C1074" s="21" t="s">
        <v>2066</v>
      </c>
      <c r="D1074" s="274" t="s">
        <v>112</v>
      </c>
      <c r="E1074" s="21" t="s">
        <v>2067</v>
      </c>
      <c r="F1074" s="274" t="str">
        <f>IF(wskakunin_NOBE_MENSEKI_JYUTAKU_SHINSEI="", "", wskakunin_NOBE_MENSEKI_JYUTAKU_SHINSEI)</f>
        <v/>
      </c>
    </row>
    <row r="1075" spans="1:6" ht="12">
      <c r="A1075" s="14"/>
      <c r="B1075" s="150" t="s">
        <v>1985</v>
      </c>
      <c r="C1075" s="21" t="s">
        <v>2068</v>
      </c>
      <c r="D1075" s="273" t="s">
        <v>112</v>
      </c>
      <c r="E1075" s="21" t="s">
        <v>2069</v>
      </c>
      <c r="F1075" s="273" t="str">
        <f>IF(wskakunin_NOBE_MENSEKI_JYUTAKU_IGAI="","",wskakunin_NOBE_MENSEKI_JYUTAKU_IGAI)</f>
        <v/>
      </c>
    </row>
    <row r="1076" spans="1:6" ht="12">
      <c r="A1076" s="14"/>
      <c r="B1076" s="150" t="s">
        <v>1988</v>
      </c>
      <c r="C1076" s="21" t="s">
        <v>2070</v>
      </c>
      <c r="D1076" s="273" t="s">
        <v>112</v>
      </c>
      <c r="E1076" s="21" t="s">
        <v>2071</v>
      </c>
      <c r="F1076" s="273" t="str">
        <f>IF(wskakunin_NOBE_MENSEKI_JYUTAKU_TOTAL="","",wskakunin_NOBE_MENSEKI_JYUTAKU_TOTAL)</f>
        <v/>
      </c>
    </row>
    <row r="1077" spans="1:6" ht="12">
      <c r="A1077" s="73"/>
      <c r="B1077" s="150"/>
      <c r="D1077" s="111"/>
      <c r="F1077" s="111"/>
    </row>
    <row r="1078" spans="1:6" ht="12">
      <c r="A1078" s="148" t="s">
        <v>2072</v>
      </c>
      <c r="B1078" s="149"/>
      <c r="D1078" s="111"/>
      <c r="F1078" s="111"/>
    </row>
    <row r="1079" spans="1:6" ht="12">
      <c r="A1079" s="14"/>
      <c r="B1079" s="150" t="s">
        <v>1982</v>
      </c>
      <c r="C1079" s="21" t="s">
        <v>2073</v>
      </c>
      <c r="D1079" s="273" t="s">
        <v>112</v>
      </c>
      <c r="E1079" s="21" t="s">
        <v>2074</v>
      </c>
      <c r="F1079" s="273" t="str">
        <f>IF(wskakunin_NOBE_MENSEKI_ROUJIN_SHINSEI="","",wskakunin_NOBE_MENSEKI_ROUJIN_SHINSEI)</f>
        <v/>
      </c>
    </row>
    <row r="1080" spans="1:6" ht="12">
      <c r="A1080" s="14"/>
      <c r="B1080" s="150" t="s">
        <v>1985</v>
      </c>
      <c r="C1080" s="21" t="s">
        <v>2075</v>
      </c>
      <c r="D1080" s="273" t="s">
        <v>112</v>
      </c>
      <c r="E1080" s="21" t="s">
        <v>2076</v>
      </c>
      <c r="F1080" s="273" t="str">
        <f>IF(wskakunin_NOBE_MENSEKI_ROUJIN_IGAI="","",wskakunin_NOBE_MENSEKI_ROUJIN_IGAI)</f>
        <v/>
      </c>
    </row>
    <row r="1081" spans="1:6" ht="12">
      <c r="A1081" s="14"/>
      <c r="B1081" s="150" t="s">
        <v>1988</v>
      </c>
      <c r="C1081" s="21" t="s">
        <v>2077</v>
      </c>
      <c r="D1081" s="273" t="s">
        <v>112</v>
      </c>
      <c r="E1081" s="21" t="s">
        <v>2078</v>
      </c>
      <c r="F1081" s="273" t="str">
        <f>IF(wskakunin_NOBE_MENSEKI_ROUJIN_TOTAL="","",wskakunin_NOBE_MENSEKI_ROUJIN_TOTAL)</f>
        <v/>
      </c>
    </row>
    <row r="1082" spans="1:6" ht="12">
      <c r="A1082" s="73"/>
      <c r="B1082" s="150"/>
      <c r="D1082" s="111"/>
      <c r="F1082" s="111"/>
    </row>
    <row r="1083" spans="1:6" ht="12">
      <c r="A1083" s="148" t="s">
        <v>2079</v>
      </c>
      <c r="B1083" s="149"/>
      <c r="D1083" s="111"/>
      <c r="F1083" s="111"/>
    </row>
    <row r="1084" spans="1:6" ht="12">
      <c r="A1084" s="14"/>
      <c r="B1084" s="150" t="s">
        <v>1988</v>
      </c>
      <c r="C1084" s="21" t="s">
        <v>2080</v>
      </c>
      <c r="D1084" s="273" t="s">
        <v>112</v>
      </c>
      <c r="E1084" s="21" t="s">
        <v>2081</v>
      </c>
      <c r="F1084" s="273" t="str">
        <f>IF(wskakunin_NOBE_MENSEKI="","",wskakunin_NOBE_MENSEKI)</f>
        <v/>
      </c>
    </row>
    <row r="1085" spans="1:6" ht="12">
      <c r="A1085" s="73"/>
      <c r="B1085" s="150"/>
      <c r="D1085" s="111"/>
      <c r="F1085" s="111"/>
    </row>
    <row r="1086" spans="1:6" ht="12">
      <c r="A1086" s="148" t="s">
        <v>1830</v>
      </c>
      <c r="B1086" s="149"/>
      <c r="D1086" s="111"/>
      <c r="F1086" s="111"/>
    </row>
    <row r="1087" spans="1:6" ht="12">
      <c r="A1087" s="14"/>
      <c r="B1087" s="150" t="s">
        <v>1988</v>
      </c>
      <c r="C1087" s="21" t="s">
        <v>2082</v>
      </c>
      <c r="D1087" s="273" t="s">
        <v>112</v>
      </c>
      <c r="E1087" s="21" t="s">
        <v>2083</v>
      </c>
      <c r="F1087" s="273" t="str">
        <f>IF(wskakunin_YOUSEKI_RITU="","",wskakunin_YOUSEKI_RITU)</f>
        <v/>
      </c>
    </row>
    <row r="1088" spans="1:6" ht="12">
      <c r="A1088" s="73"/>
      <c r="B1088" s="150"/>
      <c r="D1088" s="111"/>
      <c r="F1088" s="111"/>
    </row>
    <row r="1089" spans="1:6" ht="12">
      <c r="A1089" s="14" t="s">
        <v>2084</v>
      </c>
      <c r="B1089" s="146"/>
      <c r="D1089" s="22"/>
      <c r="F1089" s="22"/>
    </row>
    <row r="1090" spans="1:6" ht="12">
      <c r="A1090" s="14"/>
      <c r="B1090" s="74" t="s">
        <v>2085</v>
      </c>
      <c r="C1090" s="21" t="s">
        <v>2086</v>
      </c>
      <c r="D1090" s="162" t="s">
        <v>112</v>
      </c>
      <c r="E1090" s="21" t="s">
        <v>2087</v>
      </c>
      <c r="F1090" s="162" t="str">
        <f>IF(wskakunin_BUILD_SHINSEI_COUNT="","",wskakunin_BUILD_SHINSEI_COUNT)</f>
        <v/>
      </c>
    </row>
    <row r="1091" spans="1:6" ht="12">
      <c r="A1091" s="14"/>
      <c r="B1091" s="74" t="s">
        <v>2088</v>
      </c>
      <c r="C1091" s="21" t="s">
        <v>2089</v>
      </c>
      <c r="D1091" s="162" t="s">
        <v>112</v>
      </c>
      <c r="E1091" s="21" t="s">
        <v>2090</v>
      </c>
      <c r="F1091" s="162" t="str">
        <f>IF(wskakunin_BUILD_SONOTA_COUNT="","",wskakunin_BUILD_SONOTA_COUNT)</f>
        <v/>
      </c>
    </row>
    <row r="1092" spans="1:6" ht="12">
      <c r="A1092" s="15"/>
      <c r="B1092" s="75"/>
      <c r="D1092" s="22"/>
      <c r="F1092" s="22"/>
    </row>
    <row r="1093" spans="1:6" ht="12">
      <c r="A1093" s="70" t="s">
        <v>2091</v>
      </c>
      <c r="B1093" s="71"/>
      <c r="D1093" s="22"/>
      <c r="F1093" s="22"/>
    </row>
    <row r="1094" spans="1:6" ht="12">
      <c r="A1094" s="48" t="s">
        <v>2092</v>
      </c>
      <c r="B1094" s="72"/>
      <c r="D1094" s="22"/>
      <c r="F1094" s="22"/>
    </row>
    <row r="1095" spans="1:6" ht="12">
      <c r="A1095" s="14"/>
      <c r="B1095" s="74" t="s">
        <v>2093</v>
      </c>
      <c r="C1095" s="21" t="s">
        <v>2094</v>
      </c>
      <c r="D1095" s="272" t="s">
        <v>112</v>
      </c>
      <c r="E1095" s="21" t="s">
        <v>2095</v>
      </c>
      <c r="F1095" s="272" t="str">
        <f>IF(wskakunin_TAKASA_MAX_SHINSEI="","",wskakunin_TAKASA_MAX_SHINSEI)</f>
        <v/>
      </c>
    </row>
    <row r="1096" spans="1:6" ht="12">
      <c r="A1096" s="73"/>
      <c r="B1096" s="74" t="s">
        <v>2096</v>
      </c>
      <c r="C1096" s="21" t="s">
        <v>2097</v>
      </c>
      <c r="D1096" s="272" t="s">
        <v>112</v>
      </c>
      <c r="E1096" s="21" t="s">
        <v>2098</v>
      </c>
      <c r="F1096" s="272" t="str">
        <f>IF(wskakunin_TAKASA_MAX_SONOTA="","",wskakunin_TAKASA_MAX_SONOTA)</f>
        <v/>
      </c>
    </row>
    <row r="1097" spans="1:6" ht="12">
      <c r="A1097" s="48" t="s">
        <v>2099</v>
      </c>
      <c r="B1097" s="72"/>
      <c r="D1097" s="22"/>
      <c r="F1097" s="22"/>
    </row>
    <row r="1098" spans="1:6" ht="12">
      <c r="A1098" s="14"/>
      <c r="B1098" s="74" t="s">
        <v>2093</v>
      </c>
      <c r="C1098" s="21" t="s">
        <v>2100</v>
      </c>
      <c r="D1098" s="162" t="s">
        <v>112</v>
      </c>
      <c r="E1098" s="21" t="s">
        <v>2101</v>
      </c>
      <c r="F1098" s="162" t="str">
        <f>IF(wskakunin_KAISU_TIJYOU_SHINSEI="", "", wskakunin_KAISU_TIJYOU_SHINSEI)</f>
        <v/>
      </c>
    </row>
    <row r="1099" spans="1:6" ht="12">
      <c r="A1099" s="73"/>
      <c r="B1099" s="74" t="s">
        <v>2096</v>
      </c>
      <c r="C1099" s="21" t="s">
        <v>2102</v>
      </c>
      <c r="D1099" s="162" t="s">
        <v>112</v>
      </c>
      <c r="E1099" s="21" t="s">
        <v>2103</v>
      </c>
      <c r="F1099" s="162" t="str">
        <f>IF(wskakunin_KAISU_TIJYOU_SONOTA="","",wskakunin_KAISU_TIJYOU_SONOTA)</f>
        <v/>
      </c>
    </row>
    <row r="1100" spans="1:6" ht="12">
      <c r="A1100" s="48" t="s">
        <v>2104</v>
      </c>
      <c r="B1100" s="72"/>
      <c r="D1100" s="22"/>
      <c r="F1100" s="22"/>
    </row>
    <row r="1101" spans="1:6" ht="12">
      <c r="A1101" s="14"/>
      <c r="B1101" s="74" t="s">
        <v>2093</v>
      </c>
      <c r="C1101" s="21" t="s">
        <v>2105</v>
      </c>
      <c r="D1101" s="162">
        <v>0</v>
      </c>
      <c r="E1101" s="21" t="s">
        <v>2106</v>
      </c>
      <c r="F1101" s="162">
        <f>IF(wskakunin_KAISU_TIKA_SHINSEI__zero="", "", wskakunin_KAISU_TIKA_SHINSEI__zero)</f>
        <v>0</v>
      </c>
    </row>
    <row r="1102" spans="1:6" ht="12">
      <c r="A1102" s="73"/>
      <c r="B1102" s="74" t="s">
        <v>2096</v>
      </c>
      <c r="C1102" s="21" t="s">
        <v>2107</v>
      </c>
      <c r="D1102" s="162" t="s">
        <v>112</v>
      </c>
      <c r="E1102" s="21" t="s">
        <v>2108</v>
      </c>
      <c r="F1102" s="162" t="str">
        <f>IF(wskakunin_KAISU_TIKA_SONOTA="","",wskakunin_KAISU_TIKA_SONOTA)</f>
        <v/>
      </c>
    </row>
    <row r="1103" spans="1:6" ht="12">
      <c r="A1103" s="48" t="s">
        <v>1679</v>
      </c>
      <c r="B1103" s="72"/>
      <c r="D1103" s="22"/>
      <c r="F1103" s="22"/>
    </row>
    <row r="1104" spans="1:6" ht="12">
      <c r="A1104" s="14"/>
      <c r="B1104" s="74" t="s">
        <v>1679</v>
      </c>
      <c r="C1104" s="21" t="s">
        <v>2109</v>
      </c>
      <c r="D1104" s="162" t="s">
        <v>112</v>
      </c>
      <c r="E1104" s="21" t="s">
        <v>2110</v>
      </c>
      <c r="F1104" s="162" t="str">
        <f>IF(wskakunin_KOUZOU1="","",wskakunin_KOUZOU1)</f>
        <v/>
      </c>
    </row>
    <row r="1105" spans="1:6" ht="12">
      <c r="A1105" s="14"/>
      <c r="B1105" s="74" t="s">
        <v>2111</v>
      </c>
      <c r="C1105" s="21" t="s">
        <v>2112</v>
      </c>
      <c r="D1105" s="162" t="s">
        <v>112</v>
      </c>
      <c r="E1105" s="21" t="s">
        <v>2113</v>
      </c>
      <c r="F1105" s="162" t="str">
        <f>IF(wskakunin_KOUZOU2="","",wskakunin_KOUZOU2)</f>
        <v/>
      </c>
    </row>
    <row r="1106" spans="1:6" ht="12">
      <c r="A1106" s="14"/>
      <c r="B1106" s="220"/>
      <c r="E1106" s="21" t="s">
        <v>2114</v>
      </c>
      <c r="F1106" s="21" t="str">
        <f>IF(OR(LEFT(wskakunin_KOUZOU1,2)="木造",LEFT(wskakunin_KOUZOU2,2)="木造"),"○","")</f>
        <v/>
      </c>
    </row>
    <row r="1107" spans="1:6" ht="12">
      <c r="A1107" s="89"/>
      <c r="B1107" s="74"/>
      <c r="D1107" s="22"/>
      <c r="E1107" s="21" t="s">
        <v>2115</v>
      </c>
      <c r="F1107" s="22"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8" spans="1:6" ht="12">
      <c r="A1108" s="14"/>
      <c r="B1108" s="146"/>
      <c r="D1108" s="22"/>
      <c r="E1108" s="21" t="s">
        <v>2116</v>
      </c>
      <c r="F1108" s="162" t="str">
        <f>IF(cst_wskakunin_KOUZOU1="","",IF(AND(cst_wskakunin_KOUZOU1&lt;&gt;"",cst_wskakunin_KOUZOU2&lt;&gt;""),cst_wskakunin_KOUZOU1&amp;" 一部 "&amp;cst_wskakunin_KOUZOU2,cst_wskakunin_KOUZOU1))</f>
        <v/>
      </c>
    </row>
    <row r="1109" spans="1:6" ht="12">
      <c r="A1109" s="14" t="s">
        <v>2117</v>
      </c>
      <c r="B1109" s="32"/>
    </row>
    <row r="1110" spans="1:6" ht="12">
      <c r="A1110" s="14"/>
      <c r="B1110" s="74" t="s">
        <v>2118</v>
      </c>
      <c r="C1110" s="21" t="s">
        <v>2119</v>
      </c>
      <c r="D1110" s="162" t="s">
        <v>112</v>
      </c>
      <c r="E1110" s="21" t="s">
        <v>2120</v>
      </c>
      <c r="F1110" s="162" t="str">
        <f>IF(wskakunin_TOKUREI_TAKASA=1,"有","無")</f>
        <v>無</v>
      </c>
    </row>
    <row r="1111" spans="1:6" ht="12">
      <c r="A1111" s="14"/>
      <c r="B1111" s="74" t="s">
        <v>2121</v>
      </c>
      <c r="D1111" s="22"/>
      <c r="E1111" s="21" t="s">
        <v>2122</v>
      </c>
      <c r="F1111" s="162" t="str">
        <f>IF(wskakunin_TOKUREI_TAKASA=1,"■","□")</f>
        <v>□</v>
      </c>
    </row>
    <row r="1112" spans="1:6" ht="12">
      <c r="A1112" s="14"/>
      <c r="B1112" s="74" t="s">
        <v>2123</v>
      </c>
      <c r="D1112" s="22"/>
      <c r="E1112" s="21" t="s">
        <v>2124</v>
      </c>
      <c r="F1112" s="162" t="str">
        <f>IF(wskakunin_TOKUREI_TAKASA="","□",IF(wskakunin_TOKUREI_TAKASA=0,"■","□"))</f>
        <v>□</v>
      </c>
    </row>
    <row r="1113" spans="1:6" ht="12">
      <c r="A1113" s="14"/>
      <c r="B1113" s="74"/>
      <c r="D1113" s="22"/>
      <c r="F1113" s="22"/>
    </row>
    <row r="1114" spans="1:6" ht="12">
      <c r="A1114" s="48" t="s">
        <v>2125</v>
      </c>
      <c r="B1114" s="72"/>
      <c r="D1114" s="22"/>
      <c r="F1114" s="22"/>
    </row>
    <row r="1115" spans="1:6" ht="12">
      <c r="A1115" s="14"/>
      <c r="B1115" s="74" t="s">
        <v>2126</v>
      </c>
      <c r="C1115" s="21" t="s">
        <v>2127</v>
      </c>
      <c r="D1115" s="162" t="s">
        <v>112</v>
      </c>
      <c r="E1115" s="21" t="s">
        <v>2128</v>
      </c>
      <c r="F1115" s="162" t="str">
        <f>IF(wskakunin_TOKUREI_TAKASA_DOURO=1,"■","□")</f>
        <v>□</v>
      </c>
    </row>
    <row r="1116" spans="1:6" ht="12">
      <c r="A1116" s="14"/>
      <c r="B1116" s="74" t="s">
        <v>2129</v>
      </c>
      <c r="C1116" s="21" t="s">
        <v>2130</v>
      </c>
      <c r="D1116" s="162" t="s">
        <v>112</v>
      </c>
      <c r="E1116" s="21" t="s">
        <v>2131</v>
      </c>
      <c r="F1116" s="162" t="str">
        <f>IF(wskakunin_TOKUREI_TAKASA_RINTI=1,"■","□")</f>
        <v>□</v>
      </c>
    </row>
    <row r="1117" spans="1:6" ht="12">
      <c r="A1117" s="14"/>
      <c r="B1117" s="74" t="s">
        <v>2132</v>
      </c>
      <c r="C1117" s="21" t="s">
        <v>2133</v>
      </c>
      <c r="D1117" s="162" t="s">
        <v>112</v>
      </c>
      <c r="E1117" s="21" t="s">
        <v>2134</v>
      </c>
      <c r="F1117" s="162" t="str">
        <f>IF(wskakunin_TOKUREI_TAKASA_KITA=1,"■","□")</f>
        <v>□</v>
      </c>
    </row>
    <row r="1118" spans="1:6" ht="12">
      <c r="A1118" s="15"/>
      <c r="B1118" s="75"/>
      <c r="D1118" s="22"/>
      <c r="F1118" s="22"/>
    </row>
    <row r="1119" spans="1:6" ht="12">
      <c r="A1119" s="90" t="s">
        <v>2135</v>
      </c>
      <c r="B1119" s="99"/>
      <c r="C1119" s="21" t="s">
        <v>2136</v>
      </c>
    </row>
    <row r="1120" spans="1:6" ht="12">
      <c r="A1120" s="153" t="s">
        <v>1649</v>
      </c>
      <c r="B1120" s="154"/>
    </row>
    <row r="1121" spans="1:6" ht="12">
      <c r="A1121" s="92"/>
      <c r="B1121" s="155" t="s">
        <v>2137</v>
      </c>
      <c r="C1121" s="21" t="s">
        <v>2138</v>
      </c>
      <c r="D1121" s="255"/>
      <c r="E1121" s="21" t="s">
        <v>2139</v>
      </c>
      <c r="F1121" s="162" t="str">
        <f>IF(wskakunin_kyoka01_HOUREI="","",wskakunin_kyoka01_HOUREI)</f>
        <v/>
      </c>
    </row>
    <row r="1122" spans="1:6" ht="12">
      <c r="A1122" s="92"/>
      <c r="B1122" s="155" t="s">
        <v>2140</v>
      </c>
      <c r="C1122" s="21" t="s">
        <v>2141</v>
      </c>
      <c r="D1122" s="255"/>
      <c r="E1122" s="21" t="s">
        <v>2142</v>
      </c>
      <c r="F1122" s="162" t="str">
        <f>IF(wskakunin_kyoka01_JOUKOU="","",wskakunin_kyoka01_JOUKOU)</f>
        <v/>
      </c>
    </row>
    <row r="1123" spans="1:6" ht="12">
      <c r="A1123" s="92"/>
      <c r="B1123" s="155" t="s">
        <v>2143</v>
      </c>
      <c r="C1123" s="21" t="s">
        <v>2144</v>
      </c>
      <c r="D1123" s="255"/>
      <c r="E1123" s="21" t="s">
        <v>2145</v>
      </c>
      <c r="F1123" s="162" t="str">
        <f>IF(wskakunin_kyoka01_KYOKA_NO="","",wskakunin_kyoka01_KYOKA_NO)</f>
        <v/>
      </c>
    </row>
    <row r="1124" spans="1:6" ht="12">
      <c r="A1124" s="92"/>
      <c r="B1124" s="155" t="s">
        <v>2146</v>
      </c>
      <c r="C1124" s="21" t="s">
        <v>2147</v>
      </c>
      <c r="D1124" s="254"/>
      <c r="E1124" s="21" t="s">
        <v>2148</v>
      </c>
      <c r="F1124" s="162" t="str">
        <f>IF(wskakunin_kyoka01_KYOKA_DATE="","",wskakunin_kyoka01_KYOKA_DATE)</f>
        <v/>
      </c>
    </row>
    <row r="1125" spans="1:6" ht="12">
      <c r="A1125" s="92"/>
      <c r="B1125" s="155" t="s">
        <v>2</v>
      </c>
      <c r="C1125" s="21" t="s">
        <v>2149</v>
      </c>
      <c r="D1125" s="255"/>
      <c r="E1125" s="21" t="s">
        <v>2150</v>
      </c>
      <c r="F1125" s="162" t="str">
        <f>IF(wskakunin_kyoka01_BIKOU="","",wskakunin_kyoka01_BIKOU)</f>
        <v/>
      </c>
    </row>
    <row r="1126" spans="1:6" ht="12">
      <c r="A1126" s="92"/>
      <c r="B1126" s="156" t="s">
        <v>2151</v>
      </c>
      <c r="D1126" s="37"/>
      <c r="F1126" s="22"/>
    </row>
    <row r="1127" spans="1:6" ht="12">
      <c r="A1127" s="92"/>
      <c r="B1127" s="156"/>
      <c r="D1127" s="22"/>
      <c r="F1127" s="22"/>
    </row>
    <row r="1128" spans="1:6" ht="12">
      <c r="A1128" s="153" t="s">
        <v>2152</v>
      </c>
      <c r="B1128" s="154"/>
    </row>
    <row r="1129" spans="1:6" ht="12">
      <c r="A1129" s="92"/>
      <c r="B1129" s="155" t="s">
        <v>2137</v>
      </c>
      <c r="C1129" s="21" t="s">
        <v>2153</v>
      </c>
      <c r="D1129" s="255"/>
      <c r="E1129" s="21" t="s">
        <v>2154</v>
      </c>
      <c r="F1129" s="162" t="str">
        <f>IF(wskakunin_kyoka02_HOUREI="","",wskakunin_kyoka02_HOUREI)</f>
        <v/>
      </c>
    </row>
    <row r="1130" spans="1:6" ht="12">
      <c r="A1130" s="92"/>
      <c r="B1130" s="155" t="s">
        <v>2140</v>
      </c>
      <c r="C1130" s="21" t="s">
        <v>2155</v>
      </c>
      <c r="D1130" s="255"/>
      <c r="E1130" s="21" t="s">
        <v>2156</v>
      </c>
      <c r="F1130" s="162" t="str">
        <f>IF(wskakunin_kyoka02_JOUKOU="","",wskakunin_kyoka02_JOUKOU)</f>
        <v/>
      </c>
    </row>
    <row r="1131" spans="1:6" ht="12">
      <c r="A1131" s="92"/>
      <c r="B1131" s="155" t="s">
        <v>2143</v>
      </c>
      <c r="C1131" s="21" t="s">
        <v>2157</v>
      </c>
      <c r="D1131" s="255"/>
      <c r="E1131" s="21" t="s">
        <v>2158</v>
      </c>
      <c r="F1131" s="162" t="str">
        <f>IF(wskakunin_kyoka02_KYOKA_NO="","",wskakunin_kyoka02_KYOKA_NO)</f>
        <v/>
      </c>
    </row>
    <row r="1132" spans="1:6" ht="12">
      <c r="A1132" s="92"/>
      <c r="B1132" s="155" t="s">
        <v>2146</v>
      </c>
      <c r="C1132" s="21" t="s">
        <v>2159</v>
      </c>
      <c r="D1132" s="275"/>
      <c r="E1132" s="21" t="s">
        <v>2160</v>
      </c>
      <c r="F1132" s="275" t="str">
        <f>IF(wskakunin_kyoka02_KYOKA_DATE="","",wskakunin_kyoka02_KYOKA_DATE)</f>
        <v/>
      </c>
    </row>
    <row r="1133" spans="1:6" ht="12">
      <c r="A1133" s="92"/>
      <c r="B1133" s="155" t="s">
        <v>2</v>
      </c>
      <c r="C1133" s="21" t="s">
        <v>2161</v>
      </c>
      <c r="D1133" s="255"/>
      <c r="E1133" s="21" t="s">
        <v>2162</v>
      </c>
      <c r="F1133" s="162" t="str">
        <f>IF(wskakunin_kyoka02_BIKOU="","",wskakunin_kyoka02_BIKOU)</f>
        <v/>
      </c>
    </row>
    <row r="1134" spans="1:6" ht="12">
      <c r="A1134" s="92"/>
      <c r="B1134" s="156" t="s">
        <v>2163</v>
      </c>
      <c r="D1134" s="37"/>
      <c r="F1134" s="22"/>
    </row>
    <row r="1135" spans="1:6" ht="12">
      <c r="A1135" s="157"/>
      <c r="B1135" s="156"/>
      <c r="D1135" s="22"/>
      <c r="F1135" s="22"/>
    </row>
    <row r="1136" spans="1:6" ht="12">
      <c r="A1136" s="153" t="s">
        <v>2164</v>
      </c>
      <c r="B1136" s="154"/>
    </row>
    <row r="1137" spans="1:8" ht="12">
      <c r="A1137" s="92"/>
      <c r="B1137" s="155" t="s">
        <v>2137</v>
      </c>
      <c r="C1137" s="21" t="s">
        <v>2165</v>
      </c>
      <c r="D1137" s="255"/>
      <c r="E1137" s="21" t="s">
        <v>2166</v>
      </c>
      <c r="F1137" s="162" t="str">
        <f>IF(wskakunin_kyoka03_HOUREI="","",wskakunin_kyoka03_HOUREI)</f>
        <v/>
      </c>
    </row>
    <row r="1138" spans="1:8" ht="12">
      <c r="A1138" s="92"/>
      <c r="B1138" s="155" t="s">
        <v>2140</v>
      </c>
      <c r="C1138" s="21" t="s">
        <v>2167</v>
      </c>
      <c r="D1138" s="255"/>
      <c r="E1138" s="21" t="s">
        <v>2168</v>
      </c>
      <c r="F1138" s="162" t="str">
        <f>IF(wskakunin_kyoka03_JOUKOU="","",wskakunin_kyoka03_JOUKOU)</f>
        <v/>
      </c>
    </row>
    <row r="1139" spans="1:8" ht="12">
      <c r="A1139" s="92"/>
      <c r="B1139" s="155" t="s">
        <v>2143</v>
      </c>
      <c r="C1139" s="21" t="s">
        <v>2169</v>
      </c>
      <c r="D1139" s="255"/>
      <c r="E1139" s="21" t="s">
        <v>2170</v>
      </c>
      <c r="F1139" s="162" t="str">
        <f>IF(wskakunin_kyoka03_KYOKA_NO="","",wskakunin_kyoka03_KYOKA_NO)</f>
        <v/>
      </c>
    </row>
    <row r="1140" spans="1:8" ht="12">
      <c r="A1140" s="92"/>
      <c r="B1140" s="155" t="s">
        <v>2146</v>
      </c>
      <c r="C1140" s="21" t="s">
        <v>2171</v>
      </c>
      <c r="D1140" s="275"/>
      <c r="E1140" s="21" t="s">
        <v>2172</v>
      </c>
      <c r="F1140" s="275" t="str">
        <f>IF(wskakunin_kyoka03_KYOKA_DATE="","",wskakunin_kyoka03_KYOKA_DATE)</f>
        <v/>
      </c>
    </row>
    <row r="1141" spans="1:8" ht="12">
      <c r="A1141" s="92"/>
      <c r="B1141" s="155" t="s">
        <v>2</v>
      </c>
      <c r="C1141" s="21" t="s">
        <v>2173</v>
      </c>
      <c r="D1141" s="255"/>
      <c r="E1141" s="21" t="s">
        <v>2174</v>
      </c>
      <c r="F1141" s="162" t="str">
        <f>IF(wskakunin_kyoka03_BIKOU="","",wskakunin_kyoka03_BIKOU)</f>
        <v/>
      </c>
    </row>
    <row r="1142" spans="1:8" ht="12">
      <c r="A1142" s="92"/>
      <c r="B1142" s="156" t="s">
        <v>2175</v>
      </c>
      <c r="D1142" s="37"/>
      <c r="F1142" s="22"/>
    </row>
    <row r="1143" spans="1:8" ht="12">
      <c r="A1143" s="157"/>
      <c r="B1143" s="155"/>
      <c r="D1143" s="22"/>
      <c r="F1143" s="22"/>
    </row>
    <row r="1144" spans="1:8" ht="12">
      <c r="A1144" s="92" t="s">
        <v>2176</v>
      </c>
      <c r="B1144" s="152"/>
      <c r="D1144" s="22"/>
      <c r="E1144" s="21" t="s">
        <v>2177</v>
      </c>
      <c r="F1144" s="162" t="str">
        <f>cst_wskakunin_kyoka01_HOUREI&amp;IF(cst_wskakunin_kyoka02_HOUREI&lt;&gt;"",CHAR(10)&amp;cst_wskakunin_kyoka02_HOUREI,cst_wskakunin_kyoka02_HOUREI)&amp;IF(cst_wskakunin_kyoka03_HOUREI&lt;&gt;"",CHAR(10)&amp;cst_wskakunin_kyoka03_HOUREI,cst_wskakunin_kyoka03_HOUREI)</f>
        <v/>
      </c>
      <c r="G1144" s="21" t="s">
        <v>2178</v>
      </c>
    </row>
    <row r="1145" spans="1:8" ht="12">
      <c r="A1145" s="94"/>
      <c r="B1145" s="100"/>
      <c r="D1145" s="22"/>
      <c r="F1145" s="22"/>
    </row>
    <row r="1146" spans="1:8" ht="12">
      <c r="A1146" s="90" t="s">
        <v>2179</v>
      </c>
      <c r="B1146" s="99"/>
      <c r="C1146" s="21" t="s">
        <v>2180</v>
      </c>
      <c r="D1146" s="275" t="s">
        <v>112</v>
      </c>
      <c r="E1146" s="21" t="s">
        <v>2181</v>
      </c>
      <c r="F1146" s="275" t="str">
        <f>IF(wskakunin_KOUJI_TYAKUSYU_YOTEI_DATE="", "", wskakunin_KOUJI_TYAKUSYU_YOTEI_DATE)</f>
        <v/>
      </c>
    </row>
    <row r="1147" spans="1:8" ht="12">
      <c r="A1147" s="219"/>
      <c r="B1147" s="227"/>
      <c r="D1147" s="22"/>
      <c r="F1147" s="22"/>
    </row>
    <row r="1148" spans="1:8" ht="12">
      <c r="A1148" s="90" t="s">
        <v>2182</v>
      </c>
      <c r="B1148" s="99"/>
      <c r="C1148" s="21" t="s">
        <v>2183</v>
      </c>
      <c r="D1148" s="275">
        <v>45416</v>
      </c>
      <c r="E1148" s="21" t="s">
        <v>2184</v>
      </c>
      <c r="F1148" s="275">
        <f>IF(wskakunin_KOUJI_KANRYOU_YOTEI_DATE="", "", wskakunin_KOUJI_KANRYOU_YOTEI_DATE)</f>
        <v>45416</v>
      </c>
    </row>
    <row r="1149" spans="1:8" ht="12">
      <c r="A1149" s="94"/>
      <c r="B1149" s="100"/>
      <c r="D1149" s="22"/>
      <c r="F1149" s="22"/>
    </row>
    <row r="1150" spans="1:8" ht="12">
      <c r="A1150" s="51"/>
      <c r="B1150" s="52" t="s">
        <v>2185</v>
      </c>
      <c r="E1150" s="21" t="s">
        <v>2186</v>
      </c>
      <c r="F1150" s="47" t="str">
        <f>IF(OR(wskakunin_KOUJI_TYAKUSYU_YOTEI_DATE="",wskakunin_KOUJI_KANRYOU_YOTEI_DATE=""),"",IF(DATEDIF(wskakunin_KOUJI_TYAKUSYU_YOTEI_DATE,wskakunin_KOUJI_KANRYOU_YOTEI_DATE,"D")&lt;=44,0,DATEDIF(wskakunin_KOUJI_TYAKUSYU_YOTEI_DATE,wskakunin_KOUJI_KANRYOU_YOTEI_DATE+16,"Y")))</f>
        <v/>
      </c>
      <c r="G1150" s="22"/>
      <c r="H1150" s="22"/>
    </row>
    <row r="1151" spans="1:8" ht="12">
      <c r="A1151" s="53"/>
      <c r="B1151" s="69" t="s">
        <v>2187</v>
      </c>
      <c r="E1151" s="21" t="s">
        <v>2188</v>
      </c>
      <c r="F1151" s="47" t="str">
        <f>IF(OR(wskakunin_KOUJI_TYAKUSYU_YOTEI_DATE="",wskakunin_KOUJI_KANRYOU_YOTEI_DATE=""),"",IF(DATEDIF(wskakunin_KOUJI_TYAKUSYU_YOTEI_DATE,wskakunin_KOUJI_KANRYOU_YOTEI_DATE,"D")&lt;=44,1,DATEDIF(wskakunin_KOUJI_TYAKUSYU_YOTEI_DATE,wskakunin_KOUJI_KANRYOU_YOTEI_DATE+16,"YM")))</f>
        <v/>
      </c>
      <c r="G1151" s="22"/>
      <c r="H1151" s="22"/>
    </row>
    <row r="1152" spans="1:8" ht="12">
      <c r="A1152" s="54"/>
      <c r="B1152" s="66"/>
      <c r="G1152" s="22"/>
      <c r="H1152" s="22"/>
    </row>
    <row r="1153" spans="1:8" ht="12">
      <c r="G1153" s="22"/>
      <c r="H1153" s="22"/>
    </row>
    <row r="1154" spans="1:8" ht="12">
      <c r="A1154" s="91" t="s">
        <v>2189</v>
      </c>
      <c r="B1154" s="112"/>
    </row>
    <row r="1155" spans="1:8" ht="12">
      <c r="A1155" s="95" t="s">
        <v>1649</v>
      </c>
      <c r="B1155" s="113"/>
    </row>
    <row r="1156" spans="1:8" ht="12">
      <c r="A1156" s="93"/>
      <c r="B1156" s="85" t="s">
        <v>2190</v>
      </c>
      <c r="C1156" s="21" t="s">
        <v>2191</v>
      </c>
      <c r="D1156" s="162"/>
      <c r="E1156" s="21" t="s">
        <v>2192</v>
      </c>
      <c r="F1156" s="162" t="str">
        <f>IF(wskakunin_koutei01_KOUTEI_KAISUU="","",wskakunin_koutei01_KOUTEI_KAISUU)</f>
        <v/>
      </c>
    </row>
    <row r="1157" spans="1:8" ht="12">
      <c r="A1157" s="93"/>
      <c r="B1157" s="85" t="s">
        <v>2193</v>
      </c>
      <c r="C1157" s="21" t="s">
        <v>2194</v>
      </c>
      <c r="D1157" s="275"/>
      <c r="E1157" s="21" t="s">
        <v>2195</v>
      </c>
      <c r="F1157" s="275" t="str">
        <f>IF(wskakunin_koutei01_KOUTEI_DATE="","",wskakunin_koutei01_KOUTEI_DATE)</f>
        <v/>
      </c>
    </row>
    <row r="1158" spans="1:8" ht="12">
      <c r="A1158" s="93"/>
      <c r="B1158" s="85" t="s">
        <v>2196</v>
      </c>
      <c r="C1158" s="21" t="s">
        <v>2197</v>
      </c>
      <c r="D1158" s="162"/>
      <c r="E1158" s="21" t="s">
        <v>2198</v>
      </c>
      <c r="F1158" s="162" t="str">
        <f>IF(wskakunin_koutei01_KOUTEI_TEXT="","",wskakunin_koutei01_KOUTEI_TEXT)</f>
        <v/>
      </c>
    </row>
    <row r="1159" spans="1:8" ht="12">
      <c r="A1159" s="96"/>
      <c r="B1159" s="85"/>
      <c r="D1159" s="22"/>
      <c r="F1159" s="22"/>
    </row>
    <row r="1160" spans="1:8" ht="12">
      <c r="A1160" s="95" t="s">
        <v>2152</v>
      </c>
      <c r="B1160" s="113"/>
    </row>
    <row r="1161" spans="1:8" ht="12">
      <c r="A1161" s="93"/>
      <c r="B1161" s="85" t="s">
        <v>2190</v>
      </c>
      <c r="C1161" s="21" t="s">
        <v>2199</v>
      </c>
      <c r="D1161" s="162"/>
      <c r="E1161" s="21" t="s">
        <v>2200</v>
      </c>
      <c r="F1161" s="162" t="str">
        <f>IF(wskakunin_koutei02_KOUTEI_KAISUU="","",wskakunin_koutei02_KOUTEI_KAISUU)</f>
        <v/>
      </c>
    </row>
    <row r="1162" spans="1:8" ht="12">
      <c r="A1162" s="93"/>
      <c r="B1162" s="85" t="s">
        <v>2193</v>
      </c>
      <c r="C1162" s="21" t="s">
        <v>2201</v>
      </c>
      <c r="D1162" s="275"/>
      <c r="E1162" s="21" t="s">
        <v>2202</v>
      </c>
      <c r="F1162" s="275" t="str">
        <f>IF(wskakunin_koutei02_KOUTEI_DATE="","",wskakunin_koutei02_KOUTEI_DATE)</f>
        <v/>
      </c>
    </row>
    <row r="1163" spans="1:8" ht="12">
      <c r="A1163" s="93"/>
      <c r="B1163" s="85" t="s">
        <v>2196</v>
      </c>
      <c r="C1163" s="21" t="s">
        <v>2203</v>
      </c>
      <c r="D1163" s="162"/>
      <c r="E1163" s="21" t="s">
        <v>2204</v>
      </c>
      <c r="F1163" s="162" t="str">
        <f>IF(wskakunin_koutei02_KOUTEI_TEXT="","",wskakunin_koutei02_KOUTEI_TEXT)</f>
        <v/>
      </c>
    </row>
    <row r="1164" spans="1:8" ht="12">
      <c r="A1164" s="97"/>
      <c r="B1164" s="85"/>
      <c r="D1164" s="22"/>
      <c r="F1164" s="22"/>
    </row>
    <row r="1165" spans="1:8" ht="12">
      <c r="A1165" s="92" t="s">
        <v>2164</v>
      </c>
      <c r="B1165" s="47"/>
    </row>
    <row r="1166" spans="1:8" ht="12">
      <c r="A1166" s="93"/>
      <c r="B1166" s="85" t="s">
        <v>2190</v>
      </c>
      <c r="C1166" s="21" t="s">
        <v>2205</v>
      </c>
      <c r="D1166" s="162"/>
      <c r="E1166" s="21" t="s">
        <v>2206</v>
      </c>
      <c r="F1166" s="162" t="str">
        <f>IF(wskakunin_koutei03_KOUTEI_KAISUU="","",wskakunin_koutei03_KOUTEI_KAISUU)</f>
        <v/>
      </c>
    </row>
    <row r="1167" spans="1:8" ht="12">
      <c r="A1167" s="93"/>
      <c r="B1167" s="85" t="s">
        <v>2193</v>
      </c>
      <c r="C1167" s="21" t="s">
        <v>2207</v>
      </c>
      <c r="D1167" s="275"/>
      <c r="E1167" s="21" t="s">
        <v>2208</v>
      </c>
      <c r="F1167" s="275" t="str">
        <f>IF(wskakunin_koutei03_KOUTEI_DATE="","",wskakunin_koutei03_KOUTEI_DATE)</f>
        <v/>
      </c>
    </row>
    <row r="1168" spans="1:8" ht="12">
      <c r="A1168" s="93"/>
      <c r="B1168" s="85" t="s">
        <v>2196</v>
      </c>
      <c r="C1168" s="21" t="s">
        <v>2209</v>
      </c>
      <c r="D1168" s="162"/>
      <c r="E1168" s="21" t="s">
        <v>2210</v>
      </c>
      <c r="F1168" s="162" t="str">
        <f>IF(wskakunin_koutei03_KOUTEI_TEXT="","",wskakunin_koutei03_KOUTEI_TEXT)</f>
        <v/>
      </c>
    </row>
    <row r="1169" spans="1:6" ht="12">
      <c r="A1169" s="97"/>
      <c r="B1169" s="85"/>
      <c r="D1169" s="22"/>
      <c r="F1169" s="22"/>
    </row>
    <row r="1170" spans="1:6" ht="12">
      <c r="A1170" s="92" t="s">
        <v>2211</v>
      </c>
      <c r="B1170" s="47"/>
    </row>
    <row r="1171" spans="1:6" ht="12">
      <c r="A1171" s="93"/>
      <c r="B1171" s="85" t="s">
        <v>2190</v>
      </c>
      <c r="C1171" s="21" t="s">
        <v>2212</v>
      </c>
      <c r="D1171" s="162"/>
      <c r="E1171" s="21" t="s">
        <v>2213</v>
      </c>
      <c r="F1171" s="162" t="str">
        <f>IF(wskakunin_koutei04_KOUTEI_KAISUU="","",wskakunin_koutei04_KOUTEI_KAISUU)</f>
        <v/>
      </c>
    </row>
    <row r="1172" spans="1:6" ht="12">
      <c r="A1172" s="93"/>
      <c r="B1172" s="85" t="s">
        <v>2193</v>
      </c>
      <c r="C1172" s="21" t="s">
        <v>2214</v>
      </c>
      <c r="D1172" s="275"/>
      <c r="E1172" s="21" t="s">
        <v>2215</v>
      </c>
      <c r="F1172" s="275" t="str">
        <f>IF(wskakunin_koutei04_KOUTEI_DATE="","",wskakunin_koutei04_KOUTEI_DATE)</f>
        <v/>
      </c>
    </row>
    <row r="1173" spans="1:6" ht="12">
      <c r="A1173" s="93"/>
      <c r="B1173" s="85" t="s">
        <v>2196</v>
      </c>
      <c r="C1173" s="21" t="s">
        <v>2216</v>
      </c>
      <c r="D1173" s="162"/>
      <c r="E1173" s="21" t="s">
        <v>2217</v>
      </c>
      <c r="F1173" s="162" t="str">
        <f>IF(wskakunin_koutei04_KOUTEI_TEXT="","",wskakunin_koutei04_KOUTEI_TEXT)</f>
        <v/>
      </c>
    </row>
    <row r="1174" spans="1:6" ht="12">
      <c r="A1174" s="98"/>
      <c r="B1174" s="281"/>
      <c r="D1174" s="22"/>
      <c r="F1174" s="22"/>
    </row>
    <row r="1175" spans="1:6" ht="12">
      <c r="A1175" s="280" t="s">
        <v>2218</v>
      </c>
      <c r="B1175" s="282"/>
      <c r="C1175" s="21" t="s">
        <v>2219</v>
      </c>
      <c r="D1175" s="162" t="s">
        <v>112</v>
      </c>
      <c r="E1175" s="21" t="s">
        <v>2220</v>
      </c>
      <c r="F1175" s="162" t="str">
        <f>IF(wskakunin_BOUKA_SETUBI_FLAG="","",wskakunin_BOUKA_SETUBI_FLAG)</f>
        <v/>
      </c>
    </row>
    <row r="1176" spans="1:6" ht="12">
      <c r="A1176" s="280"/>
      <c r="B1176" s="85" t="s">
        <v>2121</v>
      </c>
      <c r="D1176" s="22"/>
      <c r="E1176" s="21" t="s">
        <v>2221</v>
      </c>
      <c r="F1176" s="162" t="str">
        <f>IF(wskakunin_BOUKA_SETUBI_FLAG=1,"■","□")</f>
        <v>□</v>
      </c>
    </row>
    <row r="1177" spans="1:6" ht="12">
      <c r="A1177" s="280"/>
      <c r="B1177" s="85" t="s">
        <v>2123</v>
      </c>
      <c r="D1177" s="22"/>
      <c r="E1177" s="21" t="s">
        <v>2222</v>
      </c>
      <c r="F1177" s="162" t="str">
        <f>IF(wskakunin_BOUKA_SETUBI_FLAG="","□",IF(wskakunin_BOUKA_SETUBI_FLAG=0,"■","□"))</f>
        <v>□</v>
      </c>
    </row>
    <row r="1178" spans="1:6" ht="12">
      <c r="A1178" s="280"/>
      <c r="B1178" s="152"/>
      <c r="D1178" s="22"/>
      <c r="F1178" s="22"/>
    </row>
    <row r="1179" spans="1:6" ht="12">
      <c r="A1179" s="33" t="s">
        <v>2223</v>
      </c>
      <c r="B1179" s="99"/>
      <c r="C1179" s="21" t="s">
        <v>2224</v>
      </c>
      <c r="D1179" s="162" t="s">
        <v>112</v>
      </c>
      <c r="E1179" s="21" t="s">
        <v>2225</v>
      </c>
      <c r="F1179" s="162" t="str">
        <f>IF(wskakunin_P3_SONOTA="","",wskakunin_P3_SONOTA)</f>
        <v/>
      </c>
    </row>
    <row r="1180" spans="1:6" ht="12">
      <c r="A1180" s="34"/>
      <c r="B1180" s="100"/>
      <c r="D1180" s="22"/>
      <c r="F1180" s="22"/>
    </row>
    <row r="1181" spans="1:6" ht="12">
      <c r="A1181" s="101" t="s">
        <v>2226</v>
      </c>
      <c r="B1181" s="102"/>
      <c r="C1181" s="21" t="s">
        <v>2227</v>
      </c>
      <c r="D1181" s="162" t="s">
        <v>112</v>
      </c>
      <c r="E1181" s="21" t="s">
        <v>2228</v>
      </c>
      <c r="F1181" s="162" t="str">
        <f>IF(wskakunin_P3_BIKOU="","",wskakunin_P3_BIKOU)</f>
        <v/>
      </c>
    </row>
    <row r="1182" spans="1:6" ht="12">
      <c r="A1182" s="54"/>
      <c r="B1182" s="66"/>
    </row>
    <row r="1185" spans="1:7" ht="12">
      <c r="A1185" s="189" t="s">
        <v>2229</v>
      </c>
      <c r="B1185" s="109" t="s">
        <v>1717</v>
      </c>
    </row>
    <row r="1186" spans="1:7" ht="12">
      <c r="A1186" s="91" t="s">
        <v>2230</v>
      </c>
      <c r="B1186" s="112"/>
    </row>
    <row r="1187" spans="1:7" ht="12">
      <c r="A1187" s="190" t="s">
        <v>2231</v>
      </c>
      <c r="B1187" s="191"/>
    </row>
    <row r="1188" spans="1:7" ht="12">
      <c r="A1188" s="53"/>
      <c r="B1188" s="192" t="s">
        <v>2232</v>
      </c>
      <c r="E1188" s="37" t="s">
        <v>2233</v>
      </c>
      <c r="F1188" s="47" t="str">
        <f>IF(wskakunin_TOKUREI_1="1","第１号",IF(wskakunin_TOKUREI_2="1","第２号",IF(wskakunin_TOKUREI_3="1","第３号",IF(wskakunin_TOKUREI_4="1","第４号",""))))</f>
        <v>第４号</v>
      </c>
    </row>
    <row r="1189" spans="1:7" ht="12">
      <c r="A1189" s="53"/>
      <c r="B1189" s="193" t="s">
        <v>2234</v>
      </c>
      <c r="C1189" s="37" t="s">
        <v>2235</v>
      </c>
      <c r="D1189" s="256" t="s">
        <v>112</v>
      </c>
    </row>
    <row r="1190" spans="1:7" ht="12">
      <c r="A1190" s="53"/>
      <c r="B1190" s="193" t="s">
        <v>2236</v>
      </c>
      <c r="C1190" s="37" t="s">
        <v>2237</v>
      </c>
      <c r="D1190" s="256" t="s">
        <v>112</v>
      </c>
    </row>
    <row r="1191" spans="1:7" ht="12">
      <c r="A1191" s="53"/>
      <c r="B1191" s="193" t="s">
        <v>2238</v>
      </c>
      <c r="C1191" s="37" t="s">
        <v>2239</v>
      </c>
      <c r="D1191" s="256" t="s">
        <v>112</v>
      </c>
    </row>
    <row r="1192" spans="1:7" ht="12">
      <c r="A1192" s="53"/>
      <c r="B1192" s="193" t="s">
        <v>2240</v>
      </c>
      <c r="C1192" s="37" t="s">
        <v>2241</v>
      </c>
      <c r="D1192" s="256" t="s">
        <v>2242</v>
      </c>
    </row>
    <row r="1193" spans="1:7" ht="12">
      <c r="A1193" s="194"/>
      <c r="B1193" s="192"/>
    </row>
    <row r="1194" spans="1:7" ht="12">
      <c r="A1194" s="51" t="s">
        <v>2243</v>
      </c>
      <c r="B1194" s="52"/>
      <c r="C1194" s="21" t="s">
        <v>2244</v>
      </c>
      <c r="D1194" s="256" t="s">
        <v>112</v>
      </c>
      <c r="E1194" s="21" t="s">
        <v>2245</v>
      </c>
      <c r="F1194" s="47" t="str">
        <f>IF(wskakunin_KENTIKU_NINSYO_NO="","",wskakunin_KENTIKU_NINSYO_NO)</f>
        <v/>
      </c>
    </row>
    <row r="1195" spans="1:7" ht="12">
      <c r="A1195" s="187"/>
      <c r="B1195" s="188"/>
    </row>
    <row r="1196" spans="1:7" ht="12">
      <c r="A1196" s="195" t="s">
        <v>2246</v>
      </c>
      <c r="B1196" s="52"/>
      <c r="C1196" s="21" t="s">
        <v>2247</v>
      </c>
      <c r="D1196" s="278">
        <v>45371</v>
      </c>
      <c r="E1196" s="21" t="s">
        <v>2248</v>
      </c>
      <c r="F1196" s="278">
        <f ca="1">IF(chk_JOB_KIND_kakunin=1,"",IF(wskakunin_KOUJI_TYAKUSYU_DATE="","",wskakunin_KOUJI_TYAKUSYU_DATE))</f>
        <v>45371</v>
      </c>
      <c r="G1196" s="21" t="s">
        <v>2249</v>
      </c>
    </row>
    <row r="1197" spans="1:7" ht="12">
      <c r="A1197" s="196"/>
      <c r="B1197" s="188"/>
      <c r="D1197" s="108"/>
    </row>
    <row r="1198" spans="1:7" ht="12">
      <c r="A1198" s="195" t="s">
        <v>2250</v>
      </c>
      <c r="B1198" s="52"/>
      <c r="D1198" s="108"/>
    </row>
    <row r="1199" spans="1:7" ht="12">
      <c r="A1199" s="251"/>
      <c r="B1199" s="77" t="s">
        <v>2251</v>
      </c>
      <c r="D1199" s="108"/>
      <c r="E1199" s="21" t="s">
        <v>2252</v>
      </c>
      <c r="F1199" s="278">
        <f ca="1">IF(chk_JOB_KIND_kakunin=1,"",IF(wskakunin_KOUJI_KANRYOU_YOTEI_DATE="","",wskakunin_KOUJI_KANRYOU_YOTEI_DATE))</f>
        <v>45416</v>
      </c>
    </row>
    <row r="1200" spans="1:7" ht="12">
      <c r="A1200" s="195" t="s">
        <v>2253</v>
      </c>
      <c r="B1200" s="52"/>
    </row>
    <row r="1201" spans="1:7" ht="12">
      <c r="A1201" s="53"/>
      <c r="B1201" s="193" t="s">
        <v>2254</v>
      </c>
      <c r="C1201" s="21" t="s">
        <v>2255</v>
      </c>
      <c r="D1201" s="256" t="s">
        <v>2256</v>
      </c>
      <c r="E1201" s="21" t="s">
        <v>2257</v>
      </c>
      <c r="F1201" s="47" t="str">
        <f>IF(wskakunin_TOKUTEI_KOUTEI="","",wskakunin_TOKUTEI_KOUTEI)</f>
        <v>土台、柱、はり及び筋かいを金物等により接合する工事の工程</v>
      </c>
      <c r="G1201" s="21" t="s">
        <v>2258</v>
      </c>
    </row>
    <row r="1202" spans="1:7" ht="12">
      <c r="A1202" s="53"/>
      <c r="B1202" s="192" t="s">
        <v>2259</v>
      </c>
      <c r="E1202" s="21" t="s">
        <v>2260</v>
      </c>
      <c r="F1202" s="47" t="str">
        <f ca="1">IF(chk_JOB_KIND_kakunin=1,IF(wskakunin_koutei01_KOUTEI_TEXT="","",wskakunin_koutei01_KOUTEI_TEXT),cst_wskakunin_TOKUTEI_KOUTEI)</f>
        <v>土台、柱、はり及び筋かいを金物等により接合する工事の工程</v>
      </c>
    </row>
    <row r="1203" spans="1:7" ht="12">
      <c r="A1203" s="53"/>
      <c r="B1203" s="192" t="s">
        <v>2261</v>
      </c>
      <c r="E1203" s="21" t="s">
        <v>2262</v>
      </c>
      <c r="F1203" s="47" t="str">
        <f ca="1">IF(chk_JOB_KIND_kakunin=1,IF(wskakunin_koutei02_KOUTEI_TEXT="","",wskakunin_koutei02_KOUTEI_TEXT),cst_wskakunin_TOKUTEI_KOUTEI)</f>
        <v>土台、柱、はり及び筋かいを金物等により接合する工事の工程</v>
      </c>
    </row>
    <row r="1204" spans="1:7" ht="12">
      <c r="A1204" s="53"/>
      <c r="B1204" s="193" t="s">
        <v>2263</v>
      </c>
      <c r="C1204" s="21" t="s">
        <v>2264</v>
      </c>
      <c r="D1204" s="278">
        <v>45383</v>
      </c>
      <c r="E1204" s="21" t="s">
        <v>2265</v>
      </c>
      <c r="F1204" s="278">
        <f ca="1">IF(chk_JOB_KIND_kakunin=1,"",IF(wskakunin_TOKUTEI_KOUJI_KANRYOU_DATE="","",wskakunin_TOKUTEI_KOUJI_KANRYOU_DATE))</f>
        <v>45383</v>
      </c>
      <c r="G1204" s="21" t="s">
        <v>2249</v>
      </c>
    </row>
    <row r="1205" spans="1:7" ht="12">
      <c r="A1205" s="53"/>
      <c r="B1205" s="76"/>
      <c r="D1205" s="108"/>
    </row>
    <row r="1206" spans="1:7" ht="12">
      <c r="A1206" s="53"/>
      <c r="B1206" s="193" t="s">
        <v>2266</v>
      </c>
      <c r="C1206" s="21" t="s">
        <v>2267</v>
      </c>
      <c r="D1206" s="277">
        <v>100</v>
      </c>
      <c r="E1206" s="21" t="s">
        <v>2268</v>
      </c>
      <c r="F1206" s="47">
        <f ca="1">IF(chk_JOB_KIND_kakunin=1,"",IF(wskakunin_KENSA_YUKA_MENSEKI="","",wskakunin_KENSA_YUKA_MENSEKI))</f>
        <v>100</v>
      </c>
      <c r="G1206" s="21" t="s">
        <v>2249</v>
      </c>
    </row>
    <row r="1207" spans="1:7" ht="12">
      <c r="A1207" s="187"/>
      <c r="B1207" s="198"/>
    </row>
    <row r="1208" spans="1:7" ht="12">
      <c r="A1208" s="195" t="s">
        <v>2269</v>
      </c>
      <c r="B1208" s="52"/>
    </row>
    <row r="1209" spans="1:7" ht="12">
      <c r="A1209" s="213" t="s">
        <v>1649</v>
      </c>
      <c r="B1209" s="191"/>
    </row>
    <row r="1210" spans="1:7" ht="12">
      <c r="A1210" s="214"/>
      <c r="B1210" s="192" t="s">
        <v>2190</v>
      </c>
      <c r="C1210" s="21" t="s">
        <v>2270</v>
      </c>
      <c r="D1210" s="256" t="s">
        <v>112</v>
      </c>
      <c r="E1210" s="21" t="s">
        <v>2271</v>
      </c>
      <c r="F1210" s="47" t="str">
        <f>IF(wskakunin_koutei_izen01_KOUTEI_KAISUU="","",wskakunin_koutei_izen01_KOUTEI_KAISUU)</f>
        <v/>
      </c>
    </row>
    <row r="1211" spans="1:7" ht="12">
      <c r="A1211" s="214"/>
      <c r="B1211" s="193" t="s">
        <v>2254</v>
      </c>
      <c r="C1211" s="21" t="s">
        <v>2272</v>
      </c>
      <c r="D1211" s="256" t="s">
        <v>112</v>
      </c>
      <c r="E1211" s="21" t="s">
        <v>2273</v>
      </c>
      <c r="F1211" s="47" t="str">
        <f>IF(wskakunin_koutei_izen01_KOUTEI_TEXT="","",wskakunin_koutei_izen01_KOUTEI_TEXT)</f>
        <v/>
      </c>
    </row>
    <row r="1212" spans="1:7" ht="12">
      <c r="A1212" s="214"/>
      <c r="B1212" s="199" t="s">
        <v>2274</v>
      </c>
      <c r="C1212" s="21" t="s">
        <v>2275</v>
      </c>
      <c r="D1212" s="256" t="s">
        <v>112</v>
      </c>
      <c r="E1212" s="21" t="s">
        <v>2276</v>
      </c>
      <c r="F1212" s="47" t="str">
        <f>IF(wskakunin_koutei_izen01_INTER_ISSUE_NAME="","",wskakunin_koutei_izen01_INTER_ISSUE_NAME)</f>
        <v/>
      </c>
    </row>
    <row r="1213" spans="1:7" ht="12">
      <c r="A1213" s="214"/>
      <c r="B1213" s="199" t="s">
        <v>2277</v>
      </c>
      <c r="C1213" s="21" t="s">
        <v>2278</v>
      </c>
      <c r="D1213" s="256" t="s">
        <v>112</v>
      </c>
      <c r="E1213" s="21" t="s">
        <v>2279</v>
      </c>
      <c r="F1213" s="47" t="str">
        <f>IF(wskakunin_koutei_izen01_INTER_ISSUE_NO="","",wskakunin_koutei_izen01_INTER_ISSUE_NO)</f>
        <v/>
      </c>
    </row>
    <row r="1214" spans="1:7" ht="12">
      <c r="A1214" s="214"/>
      <c r="B1214" s="199" t="s">
        <v>2280</v>
      </c>
      <c r="C1214" s="21" t="s">
        <v>2281</v>
      </c>
      <c r="D1214" s="278" t="s">
        <v>112</v>
      </c>
      <c r="E1214" s="21" t="s">
        <v>2282</v>
      </c>
      <c r="F1214" s="278" t="str">
        <f>IF(wskakunin_koutei_izen01_INTER_ISSUE_DATE="","",wskakunin_koutei_izen01_INTER_ISSUE_DATE)</f>
        <v/>
      </c>
    </row>
    <row r="1215" spans="1:7" ht="12">
      <c r="A1215" s="215"/>
      <c r="B1215" s="192"/>
    </row>
    <row r="1216" spans="1:7" ht="12">
      <c r="A1216" s="214" t="s">
        <v>2152</v>
      </c>
      <c r="B1216" s="163"/>
    </row>
    <row r="1217" spans="1:6" ht="12">
      <c r="A1217" s="214"/>
      <c r="B1217" s="192" t="s">
        <v>2190</v>
      </c>
      <c r="C1217" s="21" t="s">
        <v>2283</v>
      </c>
      <c r="D1217" s="256"/>
      <c r="E1217" s="21" t="s">
        <v>2284</v>
      </c>
      <c r="F1217" s="47" t="str">
        <f>IF(wskakunin_koutei_izen02_KOUTEI_KAISUU="","",wskakunin_koutei_izen02_KOUTEI_KAISUU)</f>
        <v/>
      </c>
    </row>
    <row r="1218" spans="1:6" ht="12">
      <c r="A1218" s="214"/>
      <c r="B1218" s="193" t="s">
        <v>2254</v>
      </c>
      <c r="C1218" s="21" t="s">
        <v>2285</v>
      </c>
      <c r="D1218" s="256"/>
      <c r="E1218" s="21" t="s">
        <v>2286</v>
      </c>
      <c r="F1218" s="47" t="str">
        <f>IF(wskakunin_koutei_izen02_KOUTEI_TEXT="","",wskakunin_koutei_izen02_KOUTEI_TEXT)</f>
        <v/>
      </c>
    </row>
    <row r="1219" spans="1:6" ht="12">
      <c r="A1219" s="214"/>
      <c r="B1219" s="199" t="s">
        <v>2274</v>
      </c>
      <c r="C1219" s="21" t="s">
        <v>2287</v>
      </c>
      <c r="D1219" s="256"/>
      <c r="E1219" s="21" t="s">
        <v>2288</v>
      </c>
      <c r="F1219" s="47" t="str">
        <f>IF(wskakunin_koutei_izen02_INTER_ISSUE_NAME="","",wskakunin_koutei_izen02_INTER_ISSUE_NAME)</f>
        <v/>
      </c>
    </row>
    <row r="1220" spans="1:6" ht="12">
      <c r="A1220" s="214"/>
      <c r="B1220" s="199" t="s">
        <v>2277</v>
      </c>
      <c r="C1220" s="21" t="s">
        <v>2289</v>
      </c>
      <c r="D1220" s="256"/>
      <c r="E1220" s="21" t="s">
        <v>2290</v>
      </c>
      <c r="F1220" s="47" t="str">
        <f>IF(wskakunin_koutei_izen02_INTER_ISSUE_NO="","",wskakunin_koutei_izen02_INTER_ISSUE_NO)</f>
        <v/>
      </c>
    </row>
    <row r="1221" spans="1:6" ht="12">
      <c r="A1221" s="214"/>
      <c r="B1221" s="199" t="s">
        <v>2280</v>
      </c>
      <c r="C1221" s="21" t="s">
        <v>2291</v>
      </c>
      <c r="D1221" s="278"/>
      <c r="E1221" s="21" t="s">
        <v>2292</v>
      </c>
      <c r="F1221" s="278" t="str">
        <f>IF(wskakunin_koutei_izen02_INTER_ISSUE_DATE="","",wskakunin_koutei_izen02_INTER_ISSUE_DATE)</f>
        <v/>
      </c>
    </row>
    <row r="1222" spans="1:6" ht="12">
      <c r="A1222" s="214"/>
      <c r="B1222" s="77"/>
    </row>
    <row r="1223" spans="1:6" ht="12">
      <c r="A1223" s="213" t="s">
        <v>2164</v>
      </c>
      <c r="B1223" s="191"/>
    </row>
    <row r="1224" spans="1:6" ht="12">
      <c r="A1224" s="214"/>
      <c r="B1224" s="192" t="s">
        <v>2190</v>
      </c>
      <c r="C1224" s="21" t="s">
        <v>2293</v>
      </c>
      <c r="D1224" s="256"/>
      <c r="E1224" s="21" t="s">
        <v>2294</v>
      </c>
      <c r="F1224" s="47" t="str">
        <f>IF(wskakunin_koutei_izen03_KOUTEI_KAISUU="","",wskakunin_koutei_izen03_KOUTEI_KAISUU)</f>
        <v/>
      </c>
    </row>
    <row r="1225" spans="1:6" ht="12">
      <c r="A1225" s="214"/>
      <c r="B1225" s="193" t="s">
        <v>2254</v>
      </c>
      <c r="C1225" s="21" t="s">
        <v>2295</v>
      </c>
      <c r="D1225" s="256"/>
      <c r="E1225" s="21" t="s">
        <v>2296</v>
      </c>
      <c r="F1225" s="47" t="str">
        <f>IF(wskakunin_koutei_izen03_KOUTEI_TEXT="","",wskakunin_koutei_izen03_KOUTEI_TEXT)</f>
        <v/>
      </c>
    </row>
    <row r="1226" spans="1:6" ht="12">
      <c r="A1226" s="214"/>
      <c r="B1226" s="199" t="s">
        <v>2274</v>
      </c>
      <c r="C1226" s="21" t="s">
        <v>2297</v>
      </c>
      <c r="D1226" s="256"/>
      <c r="E1226" s="21" t="s">
        <v>2298</v>
      </c>
      <c r="F1226" s="47" t="str">
        <f>IF(wskakunin_koutei_izen03_INTER_ISSUE_NAME="","",wskakunin_koutei_izen03_INTER_ISSUE_NAME)</f>
        <v/>
      </c>
    </row>
    <row r="1227" spans="1:6" ht="12">
      <c r="A1227" s="214"/>
      <c r="B1227" s="199" t="s">
        <v>2277</v>
      </c>
      <c r="C1227" s="21" t="s">
        <v>2299</v>
      </c>
      <c r="D1227" s="256"/>
      <c r="E1227" s="21" t="s">
        <v>2300</v>
      </c>
      <c r="F1227" s="47" t="str">
        <f>IF(wskakunin_koutei_izen03_INTER_ISSUE_NO="","",wskakunin_koutei_izen03_INTER_ISSUE_NO)</f>
        <v/>
      </c>
    </row>
    <row r="1228" spans="1:6" ht="12">
      <c r="A1228" s="214"/>
      <c r="B1228" s="199" t="s">
        <v>2280</v>
      </c>
      <c r="C1228" s="21" t="s">
        <v>2301</v>
      </c>
      <c r="D1228" s="276"/>
      <c r="E1228" s="21" t="s">
        <v>2302</v>
      </c>
      <c r="F1228" s="276" t="str">
        <f>IF(wskakunin_koutei_izen03_INTER_ISSUE_DATE="","",wskakunin_koutei_izen03_INTER_ISSUE_DATE)</f>
        <v/>
      </c>
    </row>
    <row r="1229" spans="1:6" ht="12">
      <c r="A1229" s="215"/>
      <c r="B1229" s="192"/>
    </row>
    <row r="1230" spans="1:6" ht="12">
      <c r="A1230" s="213" t="s">
        <v>2211</v>
      </c>
      <c r="B1230" s="191"/>
    </row>
    <row r="1231" spans="1:6" ht="12">
      <c r="A1231" s="214"/>
      <c r="B1231" s="192" t="s">
        <v>2190</v>
      </c>
      <c r="C1231" s="21" t="s">
        <v>2303</v>
      </c>
      <c r="D1231" s="256"/>
      <c r="E1231" s="21" t="s">
        <v>2304</v>
      </c>
      <c r="F1231" s="47" t="str">
        <f>IF(wskakunin_koutei_izen04_KOUTEI_KAISUU="","",wskakunin_koutei_izen04_KOUTEI_KAISUU)</f>
        <v/>
      </c>
    </row>
    <row r="1232" spans="1:6" ht="12">
      <c r="A1232" s="214"/>
      <c r="B1232" s="193" t="s">
        <v>2254</v>
      </c>
      <c r="C1232" s="21" t="s">
        <v>2305</v>
      </c>
      <c r="D1232" s="256"/>
      <c r="E1232" s="21" t="s">
        <v>2306</v>
      </c>
      <c r="F1232" s="47" t="str">
        <f>IF(wskakunin_koutei_izen04_KOUTEI_TEXT="","",wskakunin_koutei_izen04_KOUTEI_TEXT)</f>
        <v/>
      </c>
    </row>
    <row r="1233" spans="1:7" ht="12">
      <c r="A1233" s="214"/>
      <c r="B1233" s="199" t="s">
        <v>2274</v>
      </c>
      <c r="C1233" s="21" t="s">
        <v>2307</v>
      </c>
      <c r="D1233" s="256"/>
      <c r="E1233" s="21" t="s">
        <v>2308</v>
      </c>
      <c r="F1233" s="47" t="str">
        <f>IF(wskakunin_koutei_izen04_INTER_ISSUE_NAME="","",wskakunin_koutei_izen04_INTER_ISSUE_NAME)</f>
        <v/>
      </c>
    </row>
    <row r="1234" spans="1:7" ht="12">
      <c r="A1234" s="214"/>
      <c r="B1234" s="199" t="s">
        <v>2277</v>
      </c>
      <c r="C1234" s="21" t="s">
        <v>2309</v>
      </c>
      <c r="D1234" s="256"/>
      <c r="E1234" s="21" t="s">
        <v>2310</v>
      </c>
      <c r="F1234" s="47" t="str">
        <f>IF(wskakunin_koutei_izen04_INTER_ISSUE_NO="","",wskakunin_koutei_izen04_INTER_ISSUE_NO)</f>
        <v/>
      </c>
    </row>
    <row r="1235" spans="1:7" ht="12">
      <c r="A1235" s="214"/>
      <c r="B1235" s="199" t="s">
        <v>2280</v>
      </c>
      <c r="C1235" s="21" t="s">
        <v>2311</v>
      </c>
      <c r="D1235" s="276"/>
      <c r="E1235" s="21" t="s">
        <v>2312</v>
      </c>
      <c r="F1235" s="276" t="str">
        <f>IF(wskakunin_koutei_izen04_INTER_ISSUE_DATE="","",wskakunin_koutei_izen04_INTER_ISSUE_DATE)</f>
        <v/>
      </c>
    </row>
    <row r="1236" spans="1:7" ht="12">
      <c r="A1236" s="215"/>
      <c r="B1236" s="192"/>
    </row>
    <row r="1237" spans="1:7" ht="12">
      <c r="A1237" s="213" t="s">
        <v>2313</v>
      </c>
      <c r="B1237" s="191" t="s">
        <v>2314</v>
      </c>
      <c r="G1237" s="21" t="s">
        <v>2249</v>
      </c>
    </row>
    <row r="1238" spans="1:7" ht="12">
      <c r="A1238" s="214"/>
      <c r="B1238" s="192" t="s">
        <v>2315</v>
      </c>
      <c r="E1238" s="21" t="s">
        <v>2316</v>
      </c>
      <c r="F1238" s="47" t="str">
        <f ca="1">IF(chk_JOB_KIND_kakunin=1,"",cst_wskakunin_koutei_izen01_KOUTEI_KAISUU)</f>
        <v/>
      </c>
    </row>
    <row r="1239" spans="1:7" ht="12">
      <c r="A1239" s="214"/>
      <c r="B1239" s="193" t="s">
        <v>2317</v>
      </c>
      <c r="E1239" s="21" t="s">
        <v>2318</v>
      </c>
      <c r="F1239" s="47" t="str">
        <f ca="1">IF(chk_JOB_KIND_kakunin=1,"",cst_wskakunin_koutei_izen01_KOUTEI_TEXT)</f>
        <v/>
      </c>
    </row>
    <row r="1240" spans="1:7" ht="12">
      <c r="A1240" s="214"/>
      <c r="B1240" s="199" t="s">
        <v>2319</v>
      </c>
      <c r="E1240" s="21" t="s">
        <v>2320</v>
      </c>
      <c r="F1240" s="47" t="str">
        <f ca="1">IF(chk_JOB_KIND_kakunin=1,"",cst_wskakunin_koutei_izen01_INTER_ISSUE_NAME)</f>
        <v/>
      </c>
    </row>
    <row r="1241" spans="1:7" ht="12">
      <c r="A1241" s="214"/>
      <c r="B1241" s="199" t="s">
        <v>2321</v>
      </c>
      <c r="E1241" s="21" t="s">
        <v>2322</v>
      </c>
      <c r="F1241" s="47" t="str">
        <f ca="1">IF(chk_JOB_KIND_kakunin=1,"",cst_wskakunin_koutei_izen01_INTER_ISSUE_NO)</f>
        <v/>
      </c>
    </row>
    <row r="1242" spans="1:7" ht="12">
      <c r="A1242" s="214"/>
      <c r="B1242" s="199" t="s">
        <v>2323</v>
      </c>
      <c r="E1242" s="21" t="s">
        <v>2324</v>
      </c>
      <c r="F1242" s="278" t="str">
        <f ca="1">IF(chk_JOB_KIND_kakunin=1,"",cst_wskakunin_koutei_izen01_INTER_ISSUE_DATE)</f>
        <v/>
      </c>
    </row>
    <row r="1243" spans="1:7" ht="12">
      <c r="A1243" s="214"/>
      <c r="B1243" s="192"/>
    </row>
    <row r="1244" spans="1:7" ht="12">
      <c r="A1244" s="213" t="s">
        <v>2313</v>
      </c>
      <c r="B1244" s="191" t="s">
        <v>2325</v>
      </c>
      <c r="G1244" s="21" t="s">
        <v>2326</v>
      </c>
    </row>
    <row r="1245" spans="1:7" ht="12">
      <c r="A1245" s="214"/>
      <c r="B1245" s="192" t="s">
        <v>2315</v>
      </c>
      <c r="E1245" s="21" t="s">
        <v>2327</v>
      </c>
      <c r="F1245" s="47" t="str">
        <f ca="1">IF(chk_INTER1_state_in_conf=1,cst_wskakunin_koutei01_KOUTEI_KAISUU,"")</f>
        <v/>
      </c>
    </row>
    <row r="1246" spans="1:7" ht="12">
      <c r="A1246" s="214"/>
      <c r="B1246" s="193" t="s">
        <v>2317</v>
      </c>
      <c r="E1246" s="21" t="s">
        <v>2328</v>
      </c>
      <c r="F1246" s="47" t="str">
        <f ca="1">IF(chk_INTER1_state_in_conf=1,cst_wskakunin_koutei01_KOUTEI_TEXT,"")</f>
        <v/>
      </c>
    </row>
    <row r="1247" spans="1:7" ht="12">
      <c r="A1247" s="214"/>
      <c r="B1247" s="199" t="s">
        <v>2319</v>
      </c>
      <c r="E1247" s="21" t="s">
        <v>2329</v>
      </c>
      <c r="F1247" s="47" t="str">
        <f ca="1">IF(chk_INTER1_state_in_conf=1,cst_wskakunin_KIKAN_NAME,"")</f>
        <v/>
      </c>
    </row>
    <row r="1248" spans="1:7" ht="12">
      <c r="A1248" s="214"/>
      <c r="B1248" s="199" t="s">
        <v>2321</v>
      </c>
      <c r="E1248" s="21" t="s">
        <v>2330</v>
      </c>
      <c r="F1248" s="47" t="str">
        <f ca="1">IF(chk_INTER1_state_in_conf=1,"第   KAK建合        号","")</f>
        <v/>
      </c>
    </row>
    <row r="1249" spans="1:7" ht="12">
      <c r="A1249" s="214"/>
      <c r="B1249" s="199" t="s">
        <v>2323</v>
      </c>
      <c r="E1249" s="21" t="s">
        <v>2331</v>
      </c>
      <c r="F1249" s="278" t="str">
        <f ca="1">IF(chk_INTER1_state_in_conf=1,"","")</f>
        <v/>
      </c>
    </row>
    <row r="1250" spans="1:7" ht="12">
      <c r="A1250" s="215"/>
      <c r="B1250" s="192"/>
    </row>
    <row r="1251" spans="1:7" ht="12">
      <c r="A1251" s="213" t="s">
        <v>2332</v>
      </c>
      <c r="B1251" s="191" t="s">
        <v>2314</v>
      </c>
      <c r="G1251" s="21" t="s">
        <v>2249</v>
      </c>
    </row>
    <row r="1252" spans="1:7" ht="12">
      <c r="A1252" s="214"/>
      <c r="B1252" s="192" t="s">
        <v>2315</v>
      </c>
      <c r="E1252" s="21" t="s">
        <v>2333</v>
      </c>
      <c r="F1252" s="47" t="str">
        <f ca="1">IF(chk_JOB_KIND_kakunin=1,"",cst_wskakunin_koutei_izen02_KOUTEI_KAISUU)</f>
        <v/>
      </c>
    </row>
    <row r="1253" spans="1:7" ht="12">
      <c r="A1253" s="214"/>
      <c r="B1253" s="193" t="s">
        <v>2317</v>
      </c>
      <c r="E1253" s="21" t="s">
        <v>2334</v>
      </c>
      <c r="F1253" s="47" t="str">
        <f ca="1">IF(chk_JOB_KIND_kakunin=1,"",cst_wskakunin_koutei_izen02_KOUTEI_TEXT)</f>
        <v/>
      </c>
    </row>
    <row r="1254" spans="1:7" ht="12">
      <c r="A1254" s="214"/>
      <c r="B1254" s="199" t="s">
        <v>2319</v>
      </c>
      <c r="E1254" s="21" t="s">
        <v>2335</v>
      </c>
      <c r="F1254" s="47" t="str">
        <f ca="1">IF(chk_JOB_KIND_kakunin=1,"",cst_wskakunin_koutei_izen02_INTER_ISSUE_NAME)</f>
        <v/>
      </c>
    </row>
    <row r="1255" spans="1:7" ht="12">
      <c r="A1255" s="214"/>
      <c r="B1255" s="199" t="s">
        <v>2321</v>
      </c>
      <c r="E1255" s="21" t="s">
        <v>2336</v>
      </c>
      <c r="F1255" s="47" t="str">
        <f ca="1">IF(chk_JOB_KIND_kakunin=1,"",cst_wskakunin_koutei_izen02_INTER_ISSUE_NO)</f>
        <v/>
      </c>
    </row>
    <row r="1256" spans="1:7" ht="12">
      <c r="A1256" s="214"/>
      <c r="B1256" s="199" t="s">
        <v>2323</v>
      </c>
      <c r="E1256" s="21" t="s">
        <v>2337</v>
      </c>
      <c r="F1256" s="278" t="str">
        <f ca="1">IF(chk_JOB_KIND_kakunin=1,"",cst_wskakunin_koutei_izen02_INTER_ISSUE_DATE)</f>
        <v/>
      </c>
    </row>
    <row r="1257" spans="1:7" ht="12">
      <c r="A1257" s="214"/>
      <c r="B1257" s="192"/>
    </row>
    <row r="1258" spans="1:7" ht="12">
      <c r="A1258" s="213" t="s">
        <v>2332</v>
      </c>
      <c r="B1258" s="191" t="s">
        <v>2325</v>
      </c>
      <c r="G1258" s="21" t="s">
        <v>2249</v>
      </c>
    </row>
    <row r="1259" spans="1:7" ht="12">
      <c r="A1259" s="214"/>
      <c r="B1259" s="192" t="s">
        <v>2315</v>
      </c>
      <c r="E1259" s="21" t="s">
        <v>2338</v>
      </c>
      <c r="F1259" s="47" t="str">
        <f ca="1">IF(chk_INTER1_state_in_conf=1,"","")</f>
        <v/>
      </c>
    </row>
    <row r="1260" spans="1:7" ht="12">
      <c r="A1260" s="214"/>
      <c r="B1260" s="193" t="s">
        <v>2317</v>
      </c>
      <c r="E1260" s="21" t="s">
        <v>2339</v>
      </c>
      <c r="F1260" s="47" t="str">
        <f ca="1">IF(chk_INTER1_state_in_conf=1,"","")</f>
        <v/>
      </c>
    </row>
    <row r="1261" spans="1:7" ht="12">
      <c r="A1261" s="214"/>
      <c r="B1261" s="199" t="s">
        <v>2319</v>
      </c>
      <c r="E1261" s="21" t="s">
        <v>2340</v>
      </c>
      <c r="F1261" s="47" t="str">
        <f ca="1">IF(chk_INTER1_state_in_conf=1,"","")</f>
        <v/>
      </c>
    </row>
    <row r="1262" spans="1:7" ht="12">
      <c r="A1262" s="214"/>
      <c r="B1262" s="199" t="s">
        <v>2321</v>
      </c>
      <c r="E1262" s="21" t="s">
        <v>2341</v>
      </c>
      <c r="F1262" s="47" t="str">
        <f ca="1">IF(chk_INTER1_state_in_conf=1,"","")</f>
        <v/>
      </c>
    </row>
    <row r="1263" spans="1:7" ht="12">
      <c r="A1263" s="214"/>
      <c r="B1263" s="199" t="s">
        <v>2323</v>
      </c>
      <c r="E1263" s="21" t="s">
        <v>2342</v>
      </c>
      <c r="F1263" s="278" t="str">
        <f ca="1">IF(chk_INTER1_state_in_conf=1,"","")</f>
        <v/>
      </c>
    </row>
    <row r="1264" spans="1:7" ht="12">
      <c r="A1264" s="215"/>
      <c r="B1264" s="192"/>
    </row>
    <row r="1265" spans="1:7" ht="12">
      <c r="A1265" s="200" t="s">
        <v>2343</v>
      </c>
      <c r="B1265" s="112"/>
    </row>
    <row r="1266" spans="1:7" ht="12">
      <c r="A1266" s="213" t="s">
        <v>1649</v>
      </c>
      <c r="B1266" s="191"/>
    </row>
    <row r="1267" spans="1:7" ht="12">
      <c r="A1267" s="214"/>
      <c r="B1267" s="192" t="s">
        <v>2190</v>
      </c>
      <c r="C1267" s="21" t="s">
        <v>2344</v>
      </c>
      <c r="D1267" s="256"/>
      <c r="E1267" s="21" t="s">
        <v>2345</v>
      </c>
      <c r="F1267" s="47" t="str">
        <f>IF(wskakunin_koutei_ikou01_KOUTEI_KAISUU="","",wskakunin_koutei_ikou01_KOUTEI_KAISUU)</f>
        <v/>
      </c>
    </row>
    <row r="1268" spans="1:7" ht="12">
      <c r="A1268" s="214"/>
      <c r="B1268" s="193" t="s">
        <v>2254</v>
      </c>
      <c r="C1268" s="21" t="s">
        <v>2346</v>
      </c>
      <c r="D1268" s="256"/>
      <c r="E1268" s="21" t="s">
        <v>2347</v>
      </c>
      <c r="F1268" s="47" t="str">
        <f>IF(wskakunin_koutei_ikou01_KOUTEI_TEXT="","",wskakunin_koutei_ikou01_KOUTEI_TEXT)</f>
        <v/>
      </c>
    </row>
    <row r="1269" spans="1:7" ht="12">
      <c r="A1269" s="214"/>
      <c r="B1269" s="193" t="s">
        <v>2348</v>
      </c>
      <c r="C1269" s="21" t="s">
        <v>2349</v>
      </c>
      <c r="D1269" s="278"/>
      <c r="E1269" s="21" t="s">
        <v>2350</v>
      </c>
      <c r="F1269" s="278" t="str">
        <f>IF(wskakunin_koutei_ikou01_KOUTEI_DATE="","",wskakunin_koutei_ikou01_KOUTEI_DATE)</f>
        <v/>
      </c>
    </row>
    <row r="1270" spans="1:7" ht="12">
      <c r="A1270" s="215"/>
      <c r="B1270" s="192"/>
    </row>
    <row r="1271" spans="1:7" ht="12">
      <c r="A1271" s="213" t="s">
        <v>2351</v>
      </c>
      <c r="B1271" s="191"/>
    </row>
    <row r="1272" spans="1:7" ht="12">
      <c r="A1272" s="214"/>
      <c r="B1272" s="192" t="s">
        <v>2190</v>
      </c>
      <c r="C1272" s="21" t="s">
        <v>2352</v>
      </c>
      <c r="D1272" s="256"/>
      <c r="E1272" s="21" t="s">
        <v>2353</v>
      </c>
      <c r="F1272" s="47" t="str">
        <f>IF(wskakunin_koutei_ikou02_KOUTEI_KAISUU="","",wskakunin_koutei_ikou02_KOUTEI_KAISUU)</f>
        <v/>
      </c>
    </row>
    <row r="1273" spans="1:7" ht="12">
      <c r="A1273" s="214"/>
      <c r="B1273" s="193" t="s">
        <v>2254</v>
      </c>
      <c r="C1273" s="21" t="s">
        <v>2354</v>
      </c>
      <c r="D1273" s="256"/>
      <c r="E1273" s="21" t="s">
        <v>2355</v>
      </c>
      <c r="F1273" s="47" t="str">
        <f>IF(wskakunin_koutei_ikou02_KOUTEI_TEXT="","",wskakunin_koutei_ikou02_KOUTEI_TEXT)</f>
        <v/>
      </c>
    </row>
    <row r="1274" spans="1:7" ht="12">
      <c r="A1274" s="214"/>
      <c r="B1274" s="193" t="s">
        <v>2348</v>
      </c>
      <c r="C1274" s="21" t="s">
        <v>2356</v>
      </c>
      <c r="D1274" s="278"/>
      <c r="E1274" s="21" t="s">
        <v>2357</v>
      </c>
      <c r="F1274" s="278" t="str">
        <f>IF(wskakunin_koutei_ikou02_KOUTEI_DATE="","",wskakunin_koutei_ikou02_KOUTEI_DATE)</f>
        <v/>
      </c>
    </row>
    <row r="1275" spans="1:7" ht="12">
      <c r="A1275" s="215"/>
      <c r="B1275" s="192"/>
    </row>
    <row r="1276" spans="1:7" ht="12">
      <c r="A1276" s="213" t="s">
        <v>2358</v>
      </c>
      <c r="B1276" s="191" t="s">
        <v>2314</v>
      </c>
      <c r="G1276" s="21" t="s">
        <v>2359</v>
      </c>
    </row>
    <row r="1277" spans="1:7" ht="12">
      <c r="A1277" s="214"/>
      <c r="B1277" s="192" t="s">
        <v>2315</v>
      </c>
      <c r="E1277" s="21" t="s">
        <v>2360</v>
      </c>
      <c r="F1277" s="47" t="str">
        <f ca="1">IF(chk_INTER2_state_in_conf=1,cst_wskakunin_koutei02_KOUTEI_KAISUU,cst_wskakunin_koutei_ikou01_KOUTEI_KAISUU)</f>
        <v/>
      </c>
    </row>
    <row r="1278" spans="1:7" ht="12">
      <c r="A1278" s="214"/>
      <c r="B1278" s="193" t="s">
        <v>2317</v>
      </c>
      <c r="E1278" s="21" t="s">
        <v>2361</v>
      </c>
      <c r="F1278" s="47" t="str">
        <f ca="1">IF(chk_INTER2_state_in_conf=1,cst_wskakunin_koutei02_KOUTEI_TEXT,cst_wskakunin_koutei_ikou01_KOUTEI_TEXT)</f>
        <v/>
      </c>
    </row>
    <row r="1279" spans="1:7" ht="12">
      <c r="A1279" s="214"/>
      <c r="B1279" s="193" t="s">
        <v>2362</v>
      </c>
      <c r="E1279" s="21" t="s">
        <v>2363</v>
      </c>
      <c r="F1279" s="278" t="str">
        <f ca="1">IF(chk_INTER2_state_in_conf=1,cst_wskakunin_koutei02_KOUTEI_DATE,cst_wskakunin_koutei_ikou01_KOUTEI_DATE)</f>
        <v/>
      </c>
    </row>
    <row r="1280" spans="1:7" ht="12">
      <c r="A1280" s="215"/>
      <c r="B1280" s="192"/>
    </row>
    <row r="1281" spans="1:7" ht="12">
      <c r="A1281" s="213" t="s">
        <v>2358</v>
      </c>
      <c r="B1281" s="163" t="s">
        <v>2325</v>
      </c>
      <c r="G1281" s="21" t="s">
        <v>2364</v>
      </c>
    </row>
    <row r="1282" spans="1:7" ht="12">
      <c r="A1282" s="214"/>
      <c r="B1282" s="192" t="s">
        <v>2315</v>
      </c>
      <c r="E1282" s="21" t="s">
        <v>2365</v>
      </c>
      <c r="F1282" s="47" t="str">
        <f ca="1">IF(chk_INTER3_state_in_conf=1,cst_wskakunin_koutei03_KOUTEI_KAISUU,"")</f>
        <v/>
      </c>
    </row>
    <row r="1283" spans="1:7" ht="12">
      <c r="A1283" s="214"/>
      <c r="B1283" s="193" t="s">
        <v>2317</v>
      </c>
      <c r="E1283" s="21" t="s">
        <v>2366</v>
      </c>
      <c r="F1283" s="47" t="str">
        <f ca="1">IF(chk_INTER3_state_in_conf=1,cst_wskakunin_koutei03_KOUTEI_TEXT,"")</f>
        <v/>
      </c>
    </row>
    <row r="1284" spans="1:7" ht="12">
      <c r="A1284" s="214"/>
      <c r="B1284" s="193" t="s">
        <v>2362</v>
      </c>
      <c r="E1284" s="21" t="s">
        <v>2367</v>
      </c>
      <c r="F1284" s="278" t="str">
        <f ca="1">IF(chk_INTER3_state_in_conf=1,cst_wskakunin_koutei03_KOUTEI_DATE,"")</f>
        <v/>
      </c>
    </row>
    <row r="1285" spans="1:7" ht="12">
      <c r="A1285" s="215"/>
      <c r="B1285" s="192"/>
    </row>
    <row r="1286" spans="1:7" ht="12">
      <c r="A1286" s="213" t="s">
        <v>2368</v>
      </c>
      <c r="B1286" s="191" t="s">
        <v>2314</v>
      </c>
      <c r="G1286" s="21" t="s">
        <v>2369</v>
      </c>
    </row>
    <row r="1287" spans="1:7" ht="12">
      <c r="A1287" s="214"/>
      <c r="B1287" s="192" t="s">
        <v>2315</v>
      </c>
      <c r="E1287" s="21" t="s">
        <v>2370</v>
      </c>
      <c r="F1287" s="47" t="str">
        <f ca="1">IF(chk_INTER2_state_in_conf=1,cst_wskakunin_koutei02_KOUTEI_KAISUU,cst_wskakunin_koutei_ikou02_KOUTEI_KAISUU)</f>
        <v/>
      </c>
    </row>
    <row r="1288" spans="1:7" ht="12">
      <c r="A1288" s="214"/>
      <c r="B1288" s="193" t="s">
        <v>2317</v>
      </c>
      <c r="E1288" s="21" t="s">
        <v>2371</v>
      </c>
      <c r="F1288" s="47" t="str">
        <f ca="1">IF(chk_INTER2_state_in_conf=1,cst_wskakunin_koutei02_KOUTEI_TEXT,cst_wskakunin_koutei_ikou02_KOUTEI_TEXT)</f>
        <v/>
      </c>
    </row>
    <row r="1289" spans="1:7" ht="12">
      <c r="A1289" s="214"/>
      <c r="B1289" s="193" t="s">
        <v>2362</v>
      </c>
      <c r="E1289" s="21" t="s">
        <v>2372</v>
      </c>
      <c r="F1289" s="278" t="str">
        <f ca="1">IF(chk_INTER2_state_in_conf=1,cst_wskakunin_koutei02_KOUTEI_DATE,cst_wskakunin_koutei_ikou02_KOUTEI_DATE)</f>
        <v/>
      </c>
    </row>
    <row r="1290" spans="1:7" ht="12">
      <c r="A1290" s="215"/>
      <c r="B1290" s="192"/>
    </row>
    <row r="1291" spans="1:7" ht="12">
      <c r="A1291" s="213" t="s">
        <v>2368</v>
      </c>
      <c r="B1291" s="163" t="s">
        <v>2325</v>
      </c>
      <c r="G1291" s="21" t="s">
        <v>2373</v>
      </c>
    </row>
    <row r="1292" spans="1:7" ht="12">
      <c r="A1292" s="214"/>
      <c r="B1292" s="192" t="s">
        <v>2315</v>
      </c>
      <c r="E1292" s="21" t="s">
        <v>2374</v>
      </c>
      <c r="F1292" s="47" t="str">
        <f ca="1">IF(chk_INTER3_state_in_conf=1,cst_wskakunin_koutei03_KOUTEI_KAISUU,"")</f>
        <v/>
      </c>
    </row>
    <row r="1293" spans="1:7" ht="12">
      <c r="A1293" s="214"/>
      <c r="B1293" s="193" t="s">
        <v>2317</v>
      </c>
      <c r="E1293" s="21" t="s">
        <v>2375</v>
      </c>
      <c r="F1293" s="47" t="str">
        <f ca="1">IF(chk_INTER3_state_in_conf=1,cst_wskakunin_koutei03_KOUTEI_TEXT,"")</f>
        <v/>
      </c>
    </row>
    <row r="1294" spans="1:7" ht="12">
      <c r="A1294" s="214"/>
      <c r="B1294" s="193" t="s">
        <v>2362</v>
      </c>
      <c r="E1294" s="21" t="s">
        <v>2376</v>
      </c>
      <c r="F1294" s="278" t="str">
        <f ca="1">IF(chk_INTER3_state_in_conf=1,cst_wskakunin_koutei03_KOUTEI_DATE,"")</f>
        <v/>
      </c>
    </row>
    <row r="1295" spans="1:7" ht="12">
      <c r="A1295" s="216"/>
      <c r="B1295" s="198"/>
    </row>
    <row r="1296" spans="1:7" ht="12">
      <c r="A1296" s="195" t="s">
        <v>2377</v>
      </c>
      <c r="B1296" s="52"/>
      <c r="C1296" s="21" t="s">
        <v>2378</v>
      </c>
    </row>
    <row r="1297" spans="1:7" ht="12">
      <c r="A1297" s="53"/>
      <c r="B1297" s="201" t="s">
        <v>2379</v>
      </c>
      <c r="C1297" s="21" t="s">
        <v>2380</v>
      </c>
      <c r="D1297" s="256"/>
      <c r="E1297" s="21" t="s">
        <v>2381</v>
      </c>
      <c r="F1297" s="47" t="str">
        <f>IF(wskakunin_keibi_henkou01_HENKOU_SYURUI="","",wskakunin_keibi_henkou01_HENKOU_SYURUI)</f>
        <v/>
      </c>
    </row>
    <row r="1298" spans="1:7" ht="12">
      <c r="A1298" s="53"/>
      <c r="B1298" s="201" t="s">
        <v>2382</v>
      </c>
      <c r="C1298" s="21" t="s">
        <v>2383</v>
      </c>
      <c r="D1298" s="256"/>
      <c r="E1298" s="21" t="s">
        <v>2384</v>
      </c>
      <c r="F1298" s="47" t="str">
        <f>IF(wskakunin_keibi_henkou01_HENKOU_GAIYOU="","",wskakunin_keibi_henkou01_HENKOU_GAIYOU)</f>
        <v/>
      </c>
    </row>
    <row r="1299" spans="1:7" ht="12">
      <c r="A1299" s="187"/>
      <c r="B1299" s="198"/>
      <c r="C1299" s="22"/>
    </row>
    <row r="1300" spans="1:7" ht="12">
      <c r="A1300" s="189" t="s">
        <v>2385</v>
      </c>
      <c r="B1300" s="109" t="s">
        <v>1717</v>
      </c>
      <c r="F1300" s="21" t="s">
        <v>95</v>
      </c>
      <c r="G1300" s="21" t="s">
        <v>96</v>
      </c>
    </row>
    <row r="1301" spans="1:7" ht="12">
      <c r="A1301" s="195" t="s">
        <v>2386</v>
      </c>
      <c r="B1301" s="197"/>
      <c r="C1301" s="21" t="s">
        <v>2387</v>
      </c>
      <c r="D1301" s="278" t="s">
        <v>112</v>
      </c>
      <c r="E1301" s="21" t="s">
        <v>2388</v>
      </c>
      <c r="F1301" s="278" t="str">
        <f ca="1">IF(chk_JOB_KIND_kakunin=1,"",IF(wskakunin_KOUJI_KANRYOU_DATE="","",wskakunin_KOUJI_KANRYOU_DATE))</f>
        <v/>
      </c>
      <c r="G1301" s="21" t="s">
        <v>2249</v>
      </c>
    </row>
    <row r="1302" spans="1:7" ht="12">
      <c r="A1302" s="91" t="s">
        <v>2389</v>
      </c>
      <c r="B1302" s="112"/>
    </row>
    <row r="1303" spans="1:7" ht="12">
      <c r="A1303" s="190" t="s">
        <v>2390</v>
      </c>
      <c r="B1303" s="191" t="s">
        <v>2391</v>
      </c>
    </row>
    <row r="1304" spans="1:7" ht="12">
      <c r="A1304" s="53"/>
      <c r="B1304" s="209" t="s">
        <v>2190</v>
      </c>
      <c r="E1304" s="21" t="s">
        <v>2192</v>
      </c>
      <c r="F1304" s="21" t="str">
        <f>cst_wskakunin_koutei01_KOUTEI_KAISUU</f>
        <v/>
      </c>
    </row>
    <row r="1305" spans="1:7" ht="12">
      <c r="A1305" s="53"/>
      <c r="B1305" s="209" t="s">
        <v>2254</v>
      </c>
      <c r="E1305" s="21" t="s">
        <v>2198</v>
      </c>
      <c r="F1305" s="21" t="str">
        <f>cst_wskakunin_koutei01_KOUTEI_TEXT</f>
        <v/>
      </c>
    </row>
    <row r="1306" spans="1:7" ht="12">
      <c r="A1306" s="53"/>
      <c r="B1306" s="209" t="s">
        <v>2392</v>
      </c>
      <c r="C1306" s="21" t="s">
        <v>2393</v>
      </c>
      <c r="D1306" s="256"/>
      <c r="E1306" s="21" t="s">
        <v>2394</v>
      </c>
      <c r="F1306" s="47" t="str">
        <f>IF(wskakunin_koutei01_INTER_ISSUE_NAME="","",wskakunin_koutei01_INTER_ISSUE_NAME)</f>
        <v/>
      </c>
    </row>
    <row r="1307" spans="1:7" ht="12">
      <c r="A1307" s="53"/>
      <c r="B1307" s="209" t="s">
        <v>2277</v>
      </c>
      <c r="C1307" s="21" t="s">
        <v>2395</v>
      </c>
      <c r="D1307" s="256"/>
      <c r="E1307" s="21" t="s">
        <v>2396</v>
      </c>
      <c r="F1307" s="47" t="str">
        <f>IF(wskakunin_koutei01_INTER_ISSUE_NO="","",wskakunin_koutei01_INTER_ISSUE_NO)</f>
        <v/>
      </c>
    </row>
    <row r="1308" spans="1:7" ht="12">
      <c r="A1308" s="53"/>
      <c r="B1308" s="209" t="s">
        <v>2280</v>
      </c>
      <c r="C1308" s="21" t="s">
        <v>2397</v>
      </c>
      <c r="D1308" s="278"/>
      <c r="E1308" s="21" t="s">
        <v>2398</v>
      </c>
      <c r="F1308" s="278" t="str">
        <f>IF(wskakunin_koutei01_INTER_ISSUE_DATE="","",wskakunin_koutei01_INTER_ISSUE_DATE)</f>
        <v/>
      </c>
    </row>
    <row r="1309" spans="1:7" ht="12">
      <c r="A1309" s="53"/>
      <c r="B1309" s="209"/>
      <c r="D1309" s="211"/>
      <c r="F1309" s="211"/>
    </row>
    <row r="1310" spans="1:7" ht="12">
      <c r="A1310" s="190"/>
      <c r="B1310" s="212" t="s">
        <v>2399</v>
      </c>
      <c r="D1310" s="211"/>
      <c r="F1310" s="211"/>
    </row>
    <row r="1311" spans="1:7" ht="12">
      <c r="A1311" s="53"/>
      <c r="B1311" s="209" t="s">
        <v>2190</v>
      </c>
      <c r="D1311" s="211"/>
      <c r="E1311" s="21" t="s">
        <v>2400</v>
      </c>
      <c r="F1311" s="276" t="e">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#NAME?</v>
      </c>
    </row>
    <row r="1312" spans="1:7" ht="12">
      <c r="A1312" s="53"/>
      <c r="B1312" s="209" t="s">
        <v>2254</v>
      </c>
      <c r="D1312" s="211"/>
      <c r="E1312" s="21" t="s">
        <v>2401</v>
      </c>
      <c r="F1312" s="276"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土台、柱、はり及び筋かいを金物等により接合する工事の工程</v>
      </c>
    </row>
    <row r="1313" spans="1:6" ht="12">
      <c r="A1313" s="53"/>
      <c r="B1313" s="209" t="s">
        <v>2392</v>
      </c>
      <c r="D1313" s="211"/>
      <c r="E1313" s="21" t="s">
        <v>2402</v>
      </c>
      <c r="F1313" s="276" t="e">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#NAME?</v>
      </c>
    </row>
    <row r="1314" spans="1:6" ht="12">
      <c r="A1314" s="53"/>
      <c r="B1314" s="209" t="s">
        <v>2277</v>
      </c>
      <c r="D1314" s="211"/>
      <c r="E1314" s="21" t="s">
        <v>2403</v>
      </c>
      <c r="F1314" s="276" t="e">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#NAME?</v>
      </c>
    </row>
    <row r="1315" spans="1:6" ht="12">
      <c r="A1315" s="53"/>
      <c r="B1315" s="209" t="s">
        <v>2280</v>
      </c>
      <c r="D1315" s="211"/>
      <c r="E1315" s="21" t="s">
        <v>2404</v>
      </c>
      <c r="F1315" s="278"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6" spans="1:6" ht="12">
      <c r="A1316" s="194"/>
      <c r="B1316" s="209"/>
    </row>
    <row r="1317" spans="1:6" ht="12">
      <c r="A1317" s="53" t="s">
        <v>2405</v>
      </c>
      <c r="B1317" s="191" t="s">
        <v>2391</v>
      </c>
    </row>
    <row r="1318" spans="1:6" ht="12">
      <c r="A1318" s="53"/>
      <c r="B1318" s="209" t="s">
        <v>2190</v>
      </c>
      <c r="E1318" s="21" t="s">
        <v>2200</v>
      </c>
      <c r="F1318" s="21" t="str">
        <f>cst_wskakunin_koutei02_KOUTEI_KAISUU</f>
        <v/>
      </c>
    </row>
    <row r="1319" spans="1:6" ht="12">
      <c r="A1319" s="53"/>
      <c r="B1319" s="209" t="s">
        <v>2254</v>
      </c>
      <c r="E1319" s="21" t="s">
        <v>2204</v>
      </c>
      <c r="F1319" s="21" t="str">
        <f>cst_wskakunin_koutei02_KOUTEI_TEXT</f>
        <v/>
      </c>
    </row>
    <row r="1320" spans="1:6" ht="12">
      <c r="A1320" s="53"/>
      <c r="B1320" s="209" t="s">
        <v>2392</v>
      </c>
      <c r="C1320" s="21" t="s">
        <v>2406</v>
      </c>
      <c r="D1320" s="256"/>
      <c r="E1320" s="21" t="s">
        <v>2407</v>
      </c>
      <c r="F1320" s="47" t="str">
        <f>IF(wskakunin_koutei02_INTER_ISSUE_NAME="","",wskakunin_koutei02_INTER_ISSUE_NAME)</f>
        <v/>
      </c>
    </row>
    <row r="1321" spans="1:6" ht="12">
      <c r="A1321" s="53"/>
      <c r="B1321" s="209" t="s">
        <v>2277</v>
      </c>
      <c r="C1321" s="21" t="s">
        <v>2408</v>
      </c>
      <c r="D1321" s="256"/>
      <c r="E1321" s="21" t="s">
        <v>2409</v>
      </c>
      <c r="F1321" s="47" t="str">
        <f>IF(wskakunin_koutei02_INTER_ISSUE_NO="","",wskakunin_koutei02_INTER_ISSUE_NO)</f>
        <v/>
      </c>
    </row>
    <row r="1322" spans="1:6" ht="12">
      <c r="A1322" s="53"/>
      <c r="B1322" s="209" t="s">
        <v>2280</v>
      </c>
      <c r="C1322" s="21" t="s">
        <v>2410</v>
      </c>
      <c r="D1322" s="278"/>
      <c r="E1322" s="21" t="s">
        <v>2411</v>
      </c>
      <c r="F1322" s="278" t="str">
        <f>IF(wskakunin_koutei02_INTER_ISSUE_DATE="","",wskakunin_koutei02_INTER_ISSUE_DATE)</f>
        <v/>
      </c>
    </row>
    <row r="1323" spans="1:6" ht="12">
      <c r="A1323" s="53"/>
      <c r="B1323" s="209"/>
      <c r="D1323" s="211"/>
      <c r="F1323" s="211"/>
    </row>
    <row r="1324" spans="1:6" ht="12">
      <c r="A1324" s="53"/>
      <c r="B1324" s="209"/>
      <c r="D1324" s="211"/>
      <c r="F1324" s="211"/>
    </row>
    <row r="1325" spans="1:6" ht="12">
      <c r="A1325" s="190"/>
      <c r="B1325" s="212" t="s">
        <v>2399</v>
      </c>
      <c r="D1325" s="211"/>
      <c r="F1325" s="211"/>
    </row>
    <row r="1326" spans="1:6" ht="12">
      <c r="A1326" s="53"/>
      <c r="B1326" s="209" t="s">
        <v>2190</v>
      </c>
      <c r="D1326" s="211"/>
      <c r="E1326" s="21" t="s">
        <v>2412</v>
      </c>
      <c r="F1326" s="276" t="e">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#NAME?</v>
      </c>
    </row>
    <row r="1327" spans="1:6" ht="12">
      <c r="A1327" s="53"/>
      <c r="B1327" s="209" t="s">
        <v>2254</v>
      </c>
      <c r="D1327" s="211"/>
      <c r="E1327" s="21" t="s">
        <v>2413</v>
      </c>
      <c r="F1327" s="276"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8" spans="1:6" ht="12">
      <c r="A1328" s="53"/>
      <c r="B1328" s="209" t="s">
        <v>2392</v>
      </c>
      <c r="D1328" s="211"/>
      <c r="E1328" s="21" t="s">
        <v>2414</v>
      </c>
      <c r="F1328" s="276" t="e">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#NAME?</v>
      </c>
    </row>
    <row r="1329" spans="1:6" ht="12">
      <c r="A1329" s="53"/>
      <c r="B1329" s="209" t="s">
        <v>2277</v>
      </c>
      <c r="D1329" s="211"/>
      <c r="E1329" s="21" t="s">
        <v>2415</v>
      </c>
      <c r="F1329" s="276" t="e">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#NAME?</v>
      </c>
    </row>
    <row r="1330" spans="1:6" ht="12">
      <c r="A1330" s="53"/>
      <c r="B1330" s="209" t="s">
        <v>2280</v>
      </c>
      <c r="D1330" s="211"/>
      <c r="E1330" s="21" t="s">
        <v>2416</v>
      </c>
      <c r="F1330" s="278"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31" spans="1:6" ht="12">
      <c r="A1331" s="187"/>
      <c r="B1331" s="210"/>
    </row>
    <row r="1332" spans="1:6" ht="12">
      <c r="A1332" s="208"/>
      <c r="B1332" s="207"/>
    </row>
    <row r="1333" spans="1:6" ht="12">
      <c r="A1333" s="47" t="s">
        <v>2417</v>
      </c>
      <c r="B1333" s="47"/>
      <c r="C1333" s="21" t="s">
        <v>2418</v>
      </c>
      <c r="D1333" s="47" t="s">
        <v>2419</v>
      </c>
      <c r="E1333" s="21" t="s">
        <v>2420</v>
      </c>
      <c r="F1333" s="47" t="str">
        <f>IF(shinsei_build_YOUTO="","",shinsei_build_YOUTO)</f>
        <v>一戸建ての住宅</v>
      </c>
    </row>
  </sheetData>
  <customSheetViews>
    <customSheetView guid="{E028D9C5-4CBB-430B-B1F8-80DD1ABDFA29}" scale="90">
      <pane xSplit="2" ySplit="6" topLeftCell="C1370" activePane="bottomRight" state="frozen"/>
      <selection pane="bottomRight" activeCell="F1381" sqref="F1381"/>
      <pageMargins left="0.7" right="0.7" top="0.75" bottom="0.75" header="0.3" footer="0.3"/>
      <pageSetup paperSize="9" orientation="portrait"/>
    </customSheetView>
    <customSheetView guid="{D83ABAE7-1F4C-4C77-8E04-C5172671ED17}" hiddenRows="1">
      <pane xSplit="2" ySplit="6" topLeftCell="C7" activePane="bottomRight" state="frozen"/>
      <selection pane="bottomRight"/>
      <pageMargins left="0.7" right="0.7" top="0.75" bottom="0.75" header="0.3" footer="0.3"/>
      <pageSetup paperSize="9" orientation="portrait" r:id="rId1"/>
    </customSheetView>
    <customSheetView guid="{2DA24103-744A-47E0-AFFB-F94A0E194D57}" scale="90">
      <pane xSplit="2" ySplit="6" topLeftCell="C259" activePane="bottomRight" state="frozen"/>
      <selection pane="bottomRight" activeCell="F275" sqref="F275"/>
      <pageMargins left="0.7" right="0.7" top="0.75" bottom="0.75" header="0.3" footer="0.3"/>
      <pageSetup paperSize="9" orientation="portrait" r:id="rId2"/>
    </customSheetView>
  </customSheetViews>
  <mergeCells count="1">
    <mergeCell ref="A1068:B1068"/>
  </mergeCells>
  <phoneticPr fontId="8"/>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CC"/>
  </sheetPr>
  <dimension ref="A3:J29"/>
  <sheetViews>
    <sheetView workbookViewId="0">
      <selection activeCell="J27" sqref="J27"/>
    </sheetView>
  </sheetViews>
  <sheetFormatPr defaultColWidth="9" defaultRowHeight="15" customHeight="1"/>
  <cols>
    <col min="1" max="5" width="2.625" style="21" customWidth="1"/>
    <col min="6" max="7" width="10.625" style="21" customWidth="1"/>
    <col min="8" max="8" width="18.375" style="21" customWidth="1"/>
    <col min="9" max="12" width="20.625" style="21" customWidth="1"/>
    <col min="13" max="13" width="9" style="21" customWidth="1"/>
    <col min="14" max="16384" width="9" style="21"/>
  </cols>
  <sheetData>
    <row r="3" spans="1:9">
      <c r="A3" s="21" t="s">
        <v>73</v>
      </c>
    </row>
    <row r="4" spans="1:9">
      <c r="H4" s="130" t="s">
        <v>2421</v>
      </c>
      <c r="I4" s="126" t="s">
        <v>2422</v>
      </c>
    </row>
    <row r="5" spans="1:9">
      <c r="H5" s="123">
        <v>0</v>
      </c>
      <c r="I5" s="127" t="s">
        <v>2423</v>
      </c>
    </row>
    <row r="6" spans="1:9">
      <c r="H6" s="124">
        <v>100</v>
      </c>
      <c r="I6" s="128" t="s">
        <v>2424</v>
      </c>
    </row>
    <row r="7" spans="1:9">
      <c r="H7" s="124">
        <v>200</v>
      </c>
      <c r="I7" s="128" t="s">
        <v>2425</v>
      </c>
    </row>
    <row r="8" spans="1:9">
      <c r="H8" s="124">
        <v>300</v>
      </c>
      <c r="I8" s="128" t="s">
        <v>2426</v>
      </c>
    </row>
    <row r="9" spans="1:9">
      <c r="H9" s="125" t="s">
        <v>2427</v>
      </c>
      <c r="I9" s="129"/>
    </row>
    <row r="12" spans="1:9">
      <c r="A12" s="21" t="s">
        <v>73</v>
      </c>
    </row>
    <row r="13" spans="1:9">
      <c r="H13" s="130" t="s">
        <v>2428</v>
      </c>
      <c r="I13" s="126" t="s">
        <v>2429</v>
      </c>
    </row>
    <row r="14" spans="1:9">
      <c r="H14" s="123">
        <v>1</v>
      </c>
      <c r="I14" s="127" t="s">
        <v>67</v>
      </c>
    </row>
    <row r="15" spans="1:9">
      <c r="H15" s="124">
        <v>2</v>
      </c>
      <c r="I15" s="128" t="s">
        <v>78</v>
      </c>
    </row>
    <row r="16" spans="1:9">
      <c r="H16" s="124">
        <v>3</v>
      </c>
      <c r="I16" s="128" t="s">
        <v>2430</v>
      </c>
    </row>
    <row r="17" spans="1:10">
      <c r="H17" s="124">
        <v>4</v>
      </c>
      <c r="I17" s="128" t="s">
        <v>2431</v>
      </c>
    </row>
    <row r="18" spans="1:10">
      <c r="H18" s="124">
        <v>5</v>
      </c>
      <c r="I18" s="128" t="s">
        <v>2432</v>
      </c>
    </row>
    <row r="19" spans="1:10">
      <c r="H19" s="125" t="s">
        <v>2427</v>
      </c>
      <c r="I19" s="129"/>
    </row>
    <row r="21" spans="1:10">
      <c r="H21" s="60"/>
    </row>
    <row r="22" spans="1:10">
      <c r="A22" s="21" t="s">
        <v>86</v>
      </c>
    </row>
    <row r="23" spans="1:10">
      <c r="H23" s="130" t="s">
        <v>2433</v>
      </c>
      <c r="I23" s="126" t="s">
        <v>2434</v>
      </c>
      <c r="J23" s="206" t="s">
        <v>2424</v>
      </c>
    </row>
    <row r="24" spans="1:10">
      <c r="H24" s="123">
        <v>101</v>
      </c>
      <c r="I24" s="133" t="s">
        <v>2435</v>
      </c>
      <c r="J24" s="203">
        <v>1</v>
      </c>
    </row>
    <row r="25" spans="1:10">
      <c r="H25" s="124">
        <v>102</v>
      </c>
      <c r="I25" s="134" t="s">
        <v>2436</v>
      </c>
      <c r="J25" s="204">
        <v>1</v>
      </c>
    </row>
    <row r="26" spans="1:10">
      <c r="H26" s="124">
        <v>103</v>
      </c>
      <c r="I26" s="134" t="s">
        <v>2437</v>
      </c>
      <c r="J26" s="204">
        <v>3</v>
      </c>
    </row>
    <row r="27" spans="1:10">
      <c r="H27" s="124">
        <v>104</v>
      </c>
      <c r="I27" s="134" t="s">
        <v>2438</v>
      </c>
      <c r="J27" s="204">
        <v>4</v>
      </c>
    </row>
    <row r="28" spans="1:10">
      <c r="H28" s="124">
        <v>999</v>
      </c>
      <c r="I28" s="134" t="s">
        <v>2439</v>
      </c>
      <c r="J28" s="204"/>
    </row>
    <row r="29" spans="1:10">
      <c r="H29" s="132" t="s">
        <v>2427</v>
      </c>
      <c r="I29" s="135"/>
      <c r="J29" s="205"/>
    </row>
  </sheetData>
  <customSheetViews>
    <customSheetView guid="{E028D9C5-4CBB-430B-B1F8-80DD1ABDFA29}">
      <selection activeCell="J27" sqref="J27"/>
      <pageMargins left="0.7" right="0.7" top="0.75" bottom="0.75" header="0.3" footer="0.3"/>
      <pageSetup paperSize="9" orientation="portrait"/>
    </customSheetView>
    <customSheetView guid="{D83ABAE7-1F4C-4C77-8E04-C5172671ED17}">
      <selection activeCell="J27" sqref="J27"/>
      <pageMargins left="0.7" right="0.7" top="0.75" bottom="0.75" header="0.3" footer="0.3"/>
      <pageSetup paperSize="9" orientation="portrait" r:id="rId1"/>
    </customSheetView>
    <customSheetView guid="{2DA24103-744A-47E0-AFFB-F94A0E194D57}">
      <selection activeCell="J27" sqref="J27"/>
      <pageMargins left="0.7" right="0.7" top="0.75" bottom="0.75" header="0.3" footer="0.3"/>
      <pageSetup paperSize="9" orientation="portrait" r:id="rId2"/>
    </customSheetView>
  </customSheetViews>
  <phoneticPr fontId="7"/>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AP68"/>
  <sheetViews>
    <sheetView topLeftCell="B1" workbookViewId="0">
      <pane ySplit="2" topLeftCell="A3" activePane="bottomLeft" state="frozen"/>
      <selection activeCell="F1" sqref="F1"/>
      <selection pane="bottomLeft" activeCell="C22" sqref="C22"/>
    </sheetView>
  </sheetViews>
  <sheetFormatPr defaultColWidth="9" defaultRowHeight="13.5"/>
  <cols>
    <col min="1" max="1" width="7.125" style="2" bestFit="1" customWidth="1"/>
    <col min="2" max="2" width="6.125" style="2" customWidth="1"/>
    <col min="3" max="3" width="5.25" style="2" customWidth="1"/>
    <col min="4" max="4" width="4.875" style="2" customWidth="1"/>
    <col min="5" max="30" width="5.875" style="2" customWidth="1"/>
    <col min="31" max="31" width="12" style="2" customWidth="1"/>
    <col min="32" max="32" width="10" style="2" customWidth="1"/>
    <col min="33" max="33" width="9" style="10" customWidth="1"/>
    <col min="34" max="34" width="23.875" style="2" customWidth="1"/>
    <col min="35" max="35" width="7.375" style="10" customWidth="1"/>
    <col min="37" max="37" width="9" style="10" customWidth="1"/>
    <col min="41" max="41" width="8" style="2" customWidth="1"/>
    <col min="42" max="42" width="6.75" style="2" customWidth="1"/>
  </cols>
  <sheetData>
    <row r="1" spans="1:42">
      <c r="A1" s="2" t="s">
        <v>2440</v>
      </c>
      <c r="E1" s="2" t="s">
        <v>1830</v>
      </c>
      <c r="R1" s="2" t="s">
        <v>2441</v>
      </c>
      <c r="AO1" s="2" t="s">
        <v>2442</v>
      </c>
    </row>
    <row r="2" spans="1:42">
      <c r="A2" s="11" t="s">
        <v>398</v>
      </c>
      <c r="B2" s="11" t="s">
        <v>2443</v>
      </c>
      <c r="C2" s="11" t="s">
        <v>2444</v>
      </c>
      <c r="D2" s="11" t="s">
        <v>1466</v>
      </c>
      <c r="E2" s="12" t="s">
        <v>2445</v>
      </c>
      <c r="F2" s="12" t="s">
        <v>2446</v>
      </c>
      <c r="G2" s="12" t="s">
        <v>2447</v>
      </c>
      <c r="H2" s="12" t="s">
        <v>2448</v>
      </c>
      <c r="I2" s="12" t="s">
        <v>2449</v>
      </c>
      <c r="J2" s="12" t="s">
        <v>2450</v>
      </c>
      <c r="K2" s="12" t="s">
        <v>2451</v>
      </c>
      <c r="L2" s="12" t="s">
        <v>2452</v>
      </c>
      <c r="M2" s="12" t="s">
        <v>2453</v>
      </c>
      <c r="N2" s="12" t="s">
        <v>2454</v>
      </c>
      <c r="O2" s="12" t="s">
        <v>2455</v>
      </c>
      <c r="P2" s="12" t="s">
        <v>2456</v>
      </c>
      <c r="Q2" s="12" t="s">
        <v>1774</v>
      </c>
      <c r="R2" s="13" t="s">
        <v>2445</v>
      </c>
      <c r="S2" s="13" t="s">
        <v>2446</v>
      </c>
      <c r="T2" s="13" t="s">
        <v>2447</v>
      </c>
      <c r="U2" s="13" t="s">
        <v>2448</v>
      </c>
      <c r="V2" s="13" t="s">
        <v>2449</v>
      </c>
      <c r="W2" s="13" t="s">
        <v>2450</v>
      </c>
      <c r="X2" s="13" t="s">
        <v>2451</v>
      </c>
      <c r="Y2" s="13" t="s">
        <v>2452</v>
      </c>
      <c r="Z2" s="13" t="s">
        <v>2453</v>
      </c>
      <c r="AA2" s="13" t="s">
        <v>2454</v>
      </c>
      <c r="AB2" s="13" t="s">
        <v>2455</v>
      </c>
      <c r="AC2" s="13" t="s">
        <v>2456</v>
      </c>
      <c r="AD2" s="13" t="s">
        <v>1774</v>
      </c>
      <c r="AE2" s="11" t="s">
        <v>1816</v>
      </c>
      <c r="AF2" s="11" t="s">
        <v>2457</v>
      </c>
      <c r="AG2" s="11" t="s">
        <v>2458</v>
      </c>
      <c r="AH2" s="11" t="s">
        <v>2459</v>
      </c>
      <c r="AI2" s="11" t="s">
        <v>2460</v>
      </c>
      <c r="AJ2" s="11" t="s">
        <v>2461</v>
      </c>
      <c r="AK2" s="11" t="s">
        <v>2462</v>
      </c>
      <c r="AL2" s="11" t="s">
        <v>2463</v>
      </c>
      <c r="AM2" s="11" t="s">
        <v>2464</v>
      </c>
      <c r="AN2" s="11" t="s">
        <v>2465</v>
      </c>
      <c r="AO2" s="12" t="s">
        <v>1650</v>
      </c>
      <c r="AP2" s="12" t="s">
        <v>1650</v>
      </c>
    </row>
    <row r="3" spans="1:42">
      <c r="A3" s="2" t="s">
        <v>402</v>
      </c>
      <c r="B3" s="2" t="s">
        <v>2466</v>
      </c>
      <c r="C3" s="2" t="s">
        <v>2466</v>
      </c>
      <c r="D3" s="2" t="s">
        <v>216</v>
      </c>
      <c r="E3" s="2">
        <v>0.5</v>
      </c>
      <c r="F3" s="2">
        <v>0.5</v>
      </c>
      <c r="G3" s="2">
        <v>1</v>
      </c>
      <c r="H3" s="2">
        <v>1</v>
      </c>
      <c r="I3" s="2">
        <v>1</v>
      </c>
      <c r="J3" s="2">
        <v>1</v>
      </c>
      <c r="K3" s="2">
        <v>1</v>
      </c>
      <c r="L3" s="2">
        <v>1</v>
      </c>
      <c r="M3" s="2">
        <v>2</v>
      </c>
      <c r="N3" s="2">
        <v>1</v>
      </c>
      <c r="O3" s="2">
        <v>1</v>
      </c>
      <c r="P3" s="2">
        <v>1</v>
      </c>
      <c r="Q3" s="2">
        <v>0.5</v>
      </c>
      <c r="R3" s="2">
        <v>0.3</v>
      </c>
      <c r="S3" s="2">
        <v>0.3</v>
      </c>
      <c r="T3" s="2">
        <v>0.3</v>
      </c>
      <c r="U3" s="2">
        <v>0.3</v>
      </c>
      <c r="V3" s="2">
        <v>0.5</v>
      </c>
      <c r="W3" s="2">
        <v>0.5</v>
      </c>
      <c r="X3" s="2">
        <v>0.5</v>
      </c>
      <c r="Y3" s="2">
        <v>0.6</v>
      </c>
      <c r="Z3" s="2">
        <v>0.8</v>
      </c>
      <c r="AA3" s="2">
        <v>0.5</v>
      </c>
      <c r="AB3" s="2">
        <v>0.5</v>
      </c>
      <c r="AC3" s="2">
        <v>0.3</v>
      </c>
      <c r="AD3" s="2">
        <v>0.3</v>
      </c>
      <c r="AE3" s="2" t="s">
        <v>2445</v>
      </c>
      <c r="AF3" s="2" t="s">
        <v>2444</v>
      </c>
      <c r="AG3" s="10" t="s">
        <v>2467</v>
      </c>
      <c r="AH3" s="2" t="s">
        <v>2419</v>
      </c>
      <c r="AI3" s="10" t="s">
        <v>2468</v>
      </c>
      <c r="AJ3" s="2" t="s">
        <v>2469</v>
      </c>
      <c r="AK3" s="10" t="s">
        <v>2470</v>
      </c>
      <c r="AL3" s="2" t="s">
        <v>2471</v>
      </c>
      <c r="AM3" s="10" t="s">
        <v>2464</v>
      </c>
      <c r="AN3" s="2" t="s">
        <v>2472</v>
      </c>
      <c r="AO3" s="10" t="s">
        <v>2473</v>
      </c>
      <c r="AP3" s="2" t="s">
        <v>2474</v>
      </c>
    </row>
    <row r="4" spans="1:42">
      <c r="B4" s="2" t="s">
        <v>2475</v>
      </c>
      <c r="C4" s="2" t="s">
        <v>2475</v>
      </c>
      <c r="D4" s="2" t="s">
        <v>402</v>
      </c>
      <c r="E4" s="2">
        <v>0.6</v>
      </c>
      <c r="F4" s="2">
        <v>0.6</v>
      </c>
      <c r="G4" s="2">
        <v>1.5</v>
      </c>
      <c r="H4" s="2">
        <v>1.5</v>
      </c>
      <c r="I4" s="2">
        <v>1.5</v>
      </c>
      <c r="J4" s="2">
        <v>1.5</v>
      </c>
      <c r="K4" s="2">
        <v>1.5</v>
      </c>
      <c r="L4" s="2">
        <v>1.5</v>
      </c>
      <c r="M4" s="2">
        <v>3</v>
      </c>
      <c r="N4" s="2">
        <v>1.5</v>
      </c>
      <c r="O4" s="2">
        <v>1.5</v>
      </c>
      <c r="P4" s="2">
        <v>1.5</v>
      </c>
      <c r="Q4" s="2">
        <v>0.8</v>
      </c>
      <c r="R4" s="2">
        <v>0.4</v>
      </c>
      <c r="S4" s="2">
        <v>0.4</v>
      </c>
      <c r="T4" s="2">
        <v>0.4</v>
      </c>
      <c r="U4" s="2">
        <v>0.4</v>
      </c>
      <c r="V4" s="2">
        <v>0.6</v>
      </c>
      <c r="W4" s="2">
        <v>0.6</v>
      </c>
      <c r="X4" s="2">
        <v>0.6</v>
      </c>
      <c r="Y4" s="2">
        <v>0.8</v>
      </c>
      <c r="AA4" s="2">
        <v>0.6</v>
      </c>
      <c r="AB4" s="2">
        <v>0.6</v>
      </c>
      <c r="AC4" s="2">
        <v>0.4</v>
      </c>
      <c r="AD4" s="2">
        <v>0.4</v>
      </c>
      <c r="AE4" s="2" t="s">
        <v>2446</v>
      </c>
      <c r="AF4" s="2" t="s">
        <v>2476</v>
      </c>
      <c r="AG4" s="10" t="s">
        <v>2477</v>
      </c>
      <c r="AH4" s="2" t="s">
        <v>2478</v>
      </c>
      <c r="AI4" s="10" t="s">
        <v>2479</v>
      </c>
      <c r="AJ4" s="2" t="s">
        <v>2480</v>
      </c>
      <c r="AK4" s="10" t="s">
        <v>2481</v>
      </c>
      <c r="AL4" s="2" t="s">
        <v>2482</v>
      </c>
      <c r="AM4" s="10" t="s">
        <v>2483</v>
      </c>
      <c r="AN4" s="2" t="s">
        <v>2484</v>
      </c>
      <c r="AO4" s="10" t="s">
        <v>2485</v>
      </c>
      <c r="AP4" s="2" t="s">
        <v>2486</v>
      </c>
    </row>
    <row r="5" spans="1:42">
      <c r="B5" s="2" t="s">
        <v>2487</v>
      </c>
      <c r="C5" s="2" t="s">
        <v>2487</v>
      </c>
      <c r="D5" s="2" t="s">
        <v>2466</v>
      </c>
      <c r="E5" s="2">
        <v>0.8</v>
      </c>
      <c r="F5" s="2">
        <v>0.8</v>
      </c>
      <c r="G5" s="2">
        <v>2</v>
      </c>
      <c r="H5" s="2">
        <v>2</v>
      </c>
      <c r="I5" s="2">
        <v>2</v>
      </c>
      <c r="J5" s="2">
        <v>2</v>
      </c>
      <c r="K5" s="2">
        <v>2</v>
      </c>
      <c r="L5" s="2">
        <v>2</v>
      </c>
      <c r="M5" s="2">
        <v>4</v>
      </c>
      <c r="N5" s="2">
        <v>2</v>
      </c>
      <c r="O5" s="2">
        <v>2</v>
      </c>
      <c r="P5" s="2">
        <v>2</v>
      </c>
      <c r="Q5" s="2">
        <v>1</v>
      </c>
      <c r="R5" s="2">
        <v>0.5</v>
      </c>
      <c r="S5" s="2">
        <v>0.5</v>
      </c>
      <c r="T5" s="2">
        <v>0.5</v>
      </c>
      <c r="U5" s="2">
        <v>0.5</v>
      </c>
      <c r="V5" s="2">
        <v>0.8</v>
      </c>
      <c r="W5" s="2">
        <v>0.8</v>
      </c>
      <c r="X5" s="2">
        <v>0.8</v>
      </c>
      <c r="AA5" s="2">
        <v>0.8</v>
      </c>
      <c r="AC5" s="2">
        <v>0.5</v>
      </c>
      <c r="AD5" s="2">
        <v>0.5</v>
      </c>
      <c r="AE5" s="2" t="s">
        <v>2447</v>
      </c>
      <c r="AF5" s="2" t="s">
        <v>2488</v>
      </c>
      <c r="AG5" s="10" t="s">
        <v>2489</v>
      </c>
      <c r="AH5" s="2" t="s">
        <v>2490</v>
      </c>
      <c r="AI5" s="10" t="s">
        <v>2491</v>
      </c>
      <c r="AJ5" s="2" t="s">
        <v>2492</v>
      </c>
      <c r="AK5" s="10" t="s">
        <v>2493</v>
      </c>
      <c r="AL5" s="2" t="s">
        <v>2494</v>
      </c>
      <c r="AM5" s="10" t="s">
        <v>2495</v>
      </c>
      <c r="AN5" s="2" t="s">
        <v>2496</v>
      </c>
      <c r="AO5" s="10" t="s">
        <v>2497</v>
      </c>
      <c r="AP5" s="2" t="s">
        <v>2498</v>
      </c>
    </row>
    <row r="6" spans="1:42">
      <c r="B6" s="2" t="s">
        <v>2499</v>
      </c>
      <c r="C6" s="2" t="s">
        <v>2499</v>
      </c>
      <c r="D6" s="2" t="s">
        <v>2475</v>
      </c>
      <c r="E6" s="2">
        <v>1</v>
      </c>
      <c r="F6" s="2">
        <v>1</v>
      </c>
      <c r="G6" s="2">
        <v>3</v>
      </c>
      <c r="H6" s="2">
        <v>3</v>
      </c>
      <c r="I6" s="2">
        <v>3</v>
      </c>
      <c r="J6" s="2">
        <v>3</v>
      </c>
      <c r="K6" s="2">
        <v>3</v>
      </c>
      <c r="L6" s="2">
        <v>3</v>
      </c>
      <c r="M6" s="2">
        <v>5</v>
      </c>
      <c r="N6" s="2">
        <v>3</v>
      </c>
      <c r="O6" s="2">
        <v>3</v>
      </c>
      <c r="P6" s="2">
        <v>3</v>
      </c>
      <c r="Q6" s="2">
        <v>2</v>
      </c>
      <c r="R6" s="2">
        <v>0.6</v>
      </c>
      <c r="S6" s="2">
        <v>0.6</v>
      </c>
      <c r="T6" s="2">
        <v>0.6</v>
      </c>
      <c r="U6" s="2">
        <v>0.6</v>
      </c>
      <c r="AC6" s="2">
        <v>0.6</v>
      </c>
      <c r="AD6" s="2">
        <v>0.6</v>
      </c>
      <c r="AE6" s="2" t="s">
        <v>2448</v>
      </c>
      <c r="AF6" s="2" t="s">
        <v>2500</v>
      </c>
      <c r="AG6" s="10" t="s">
        <v>2501</v>
      </c>
      <c r="AH6" s="2" t="s">
        <v>2502</v>
      </c>
      <c r="AI6" s="10" t="s">
        <v>2503</v>
      </c>
      <c r="AJ6" s="2" t="s">
        <v>2504</v>
      </c>
      <c r="AK6" s="10" t="s">
        <v>2505</v>
      </c>
      <c r="AL6" s="2" t="s">
        <v>2506</v>
      </c>
      <c r="AM6" s="10" t="s">
        <v>2507</v>
      </c>
      <c r="AO6" s="10" t="s">
        <v>2508</v>
      </c>
      <c r="AP6" s="2" t="s">
        <v>2509</v>
      </c>
    </row>
    <row r="7" spans="1:42">
      <c r="B7" s="2" t="s">
        <v>2510</v>
      </c>
      <c r="C7" s="2" t="s">
        <v>2510</v>
      </c>
      <c r="D7" s="2" t="s">
        <v>2487</v>
      </c>
      <c r="E7" s="2">
        <v>1.5</v>
      </c>
      <c r="F7" s="2">
        <v>1.5</v>
      </c>
      <c r="G7" s="2">
        <v>4</v>
      </c>
      <c r="H7" s="2">
        <v>4</v>
      </c>
      <c r="I7" s="2">
        <v>4</v>
      </c>
      <c r="J7" s="2">
        <v>4</v>
      </c>
      <c r="K7" s="2">
        <v>4</v>
      </c>
      <c r="L7" s="2">
        <v>4</v>
      </c>
      <c r="M7" s="2">
        <v>6</v>
      </c>
      <c r="N7" s="2">
        <v>4</v>
      </c>
      <c r="O7" s="2">
        <v>4</v>
      </c>
      <c r="P7" s="2">
        <v>4</v>
      </c>
      <c r="Q7" s="2">
        <v>3</v>
      </c>
      <c r="AD7" s="2">
        <v>0.7</v>
      </c>
      <c r="AE7" s="2" t="s">
        <v>2449</v>
      </c>
      <c r="AF7" s="2" t="s">
        <v>2511</v>
      </c>
      <c r="AG7" s="10" t="s">
        <v>2512</v>
      </c>
      <c r="AH7" s="2" t="s">
        <v>2513</v>
      </c>
      <c r="AI7" s="10" t="s">
        <v>2514</v>
      </c>
      <c r="AJ7" s="2" t="s">
        <v>2515</v>
      </c>
      <c r="AK7" s="10" t="s">
        <v>2516</v>
      </c>
      <c r="AL7" s="2" t="s">
        <v>2517</v>
      </c>
      <c r="AM7" s="10" t="s">
        <v>2518</v>
      </c>
      <c r="AO7" s="10" t="s">
        <v>2519</v>
      </c>
      <c r="AP7" s="2" t="s">
        <v>2520</v>
      </c>
    </row>
    <row r="8" spans="1:42">
      <c r="B8" s="2" t="s">
        <v>2521</v>
      </c>
      <c r="C8" s="2" t="s">
        <v>2521</v>
      </c>
      <c r="D8" s="2" t="s">
        <v>2499</v>
      </c>
      <c r="E8" s="2">
        <v>2</v>
      </c>
      <c r="F8" s="2">
        <v>2</v>
      </c>
      <c r="G8" s="2">
        <v>5</v>
      </c>
      <c r="H8" s="2">
        <v>5</v>
      </c>
      <c r="I8" s="2">
        <v>5</v>
      </c>
      <c r="J8" s="2">
        <v>5</v>
      </c>
      <c r="K8" s="2">
        <v>5</v>
      </c>
      <c r="L8" s="2">
        <v>5</v>
      </c>
      <c r="M8" s="2">
        <v>7</v>
      </c>
      <c r="N8" s="2">
        <v>5</v>
      </c>
      <c r="Q8" s="2">
        <v>4</v>
      </c>
      <c r="AE8" s="2" t="s">
        <v>2450</v>
      </c>
      <c r="AF8" s="2" t="s">
        <v>2522</v>
      </c>
      <c r="AG8" s="10" t="s">
        <v>2523</v>
      </c>
      <c r="AH8" s="2" t="s">
        <v>2524</v>
      </c>
      <c r="AI8" s="10" t="s">
        <v>2525</v>
      </c>
      <c r="AJ8" s="2" t="s">
        <v>2526</v>
      </c>
      <c r="AK8" s="10" t="s">
        <v>2527</v>
      </c>
      <c r="AL8" s="2" t="s">
        <v>1668</v>
      </c>
      <c r="AM8" s="10" t="s">
        <v>1668</v>
      </c>
      <c r="AO8" s="2">
        <v>11</v>
      </c>
      <c r="AP8" s="2" t="s">
        <v>2528</v>
      </c>
    </row>
    <row r="9" spans="1:42">
      <c r="B9" s="2" t="s">
        <v>2529</v>
      </c>
      <c r="C9" s="2" t="s">
        <v>2529</v>
      </c>
      <c r="D9" s="2" t="s">
        <v>2510</v>
      </c>
      <c r="M9" s="2">
        <v>8</v>
      </c>
      <c r="AE9" s="2" t="s">
        <v>2451</v>
      </c>
      <c r="AG9" s="10" t="s">
        <v>2530</v>
      </c>
      <c r="AH9" s="2" t="s">
        <v>2531</v>
      </c>
      <c r="AI9" s="10" t="s">
        <v>2532</v>
      </c>
      <c r="AJ9" s="2" t="s">
        <v>2533</v>
      </c>
      <c r="AO9" s="2">
        <v>12</v>
      </c>
      <c r="AP9" s="2" t="s">
        <v>2534</v>
      </c>
    </row>
    <row r="10" spans="1:42">
      <c r="B10" s="2" t="s">
        <v>2535</v>
      </c>
      <c r="C10" s="2" t="s">
        <v>2535</v>
      </c>
      <c r="D10" s="2" t="s">
        <v>2521</v>
      </c>
      <c r="M10" s="2">
        <v>9</v>
      </c>
      <c r="AE10" s="2" t="s">
        <v>2452</v>
      </c>
      <c r="AG10" s="10" t="s">
        <v>2536</v>
      </c>
      <c r="AH10" s="2" t="s">
        <v>2537</v>
      </c>
      <c r="AO10" s="2">
        <v>13</v>
      </c>
      <c r="AP10" s="2" t="s">
        <v>2538</v>
      </c>
    </row>
    <row r="11" spans="1:42">
      <c r="B11" s="2" t="s">
        <v>2539</v>
      </c>
      <c r="C11" s="2" t="s">
        <v>2539</v>
      </c>
      <c r="D11" s="2" t="s">
        <v>2529</v>
      </c>
      <c r="M11" s="2">
        <v>10</v>
      </c>
      <c r="AE11" s="2" t="s">
        <v>2453</v>
      </c>
      <c r="AG11" s="10" t="s">
        <v>2540</v>
      </c>
      <c r="AH11" s="2" t="s">
        <v>2541</v>
      </c>
      <c r="AO11" s="2">
        <v>14</v>
      </c>
      <c r="AP11" s="2" t="s">
        <v>2542</v>
      </c>
    </row>
    <row r="12" spans="1:42">
      <c r="B12" s="2" t="s">
        <v>2543</v>
      </c>
      <c r="C12" s="2" t="s">
        <v>2543</v>
      </c>
      <c r="D12" s="2" t="s">
        <v>2535</v>
      </c>
      <c r="M12" s="2">
        <v>11</v>
      </c>
      <c r="AE12" s="2" t="s">
        <v>2454</v>
      </c>
      <c r="AG12" s="10" t="s">
        <v>2544</v>
      </c>
      <c r="AH12" s="2" t="s">
        <v>2545</v>
      </c>
      <c r="AO12" s="2">
        <v>15</v>
      </c>
      <c r="AP12" s="2" t="s">
        <v>2546</v>
      </c>
    </row>
    <row r="13" spans="1:42">
      <c r="B13" s="2" t="s">
        <v>2547</v>
      </c>
      <c r="C13" s="2" t="s">
        <v>2547</v>
      </c>
      <c r="D13" s="2" t="s">
        <v>2539</v>
      </c>
      <c r="M13" s="2">
        <v>12</v>
      </c>
      <c r="AE13" s="2" t="s">
        <v>2455</v>
      </c>
      <c r="AG13" s="10" t="s">
        <v>2548</v>
      </c>
      <c r="AH13" s="2" t="s">
        <v>2549</v>
      </c>
      <c r="AO13" s="2">
        <v>16</v>
      </c>
      <c r="AP13" s="2" t="s">
        <v>2550</v>
      </c>
    </row>
    <row r="14" spans="1:42">
      <c r="B14" s="2" t="s">
        <v>2551</v>
      </c>
      <c r="C14" s="2" t="s">
        <v>2551</v>
      </c>
      <c r="D14" s="2" t="s">
        <v>2543</v>
      </c>
      <c r="M14" s="2">
        <v>13</v>
      </c>
      <c r="AE14" s="2" t="s">
        <v>2456</v>
      </c>
      <c r="AG14" s="10" t="s">
        <v>2552</v>
      </c>
      <c r="AH14" s="2" t="s">
        <v>2553</v>
      </c>
      <c r="AO14" s="2">
        <v>17</v>
      </c>
      <c r="AP14" s="2" t="s">
        <v>2554</v>
      </c>
    </row>
    <row r="15" spans="1:42">
      <c r="B15" s="2" t="s">
        <v>2555</v>
      </c>
      <c r="C15" s="2" t="s">
        <v>2555</v>
      </c>
      <c r="D15" s="2" t="s">
        <v>2547</v>
      </c>
      <c r="AE15" s="2" t="s">
        <v>1774</v>
      </c>
      <c r="AG15" s="10" t="s">
        <v>2556</v>
      </c>
      <c r="AH15" s="2" t="s">
        <v>2557</v>
      </c>
      <c r="AO15" s="2">
        <v>18</v>
      </c>
      <c r="AP15" s="2" t="s">
        <v>2558</v>
      </c>
    </row>
    <row r="16" spans="1:42">
      <c r="B16" s="2" t="s">
        <v>2559</v>
      </c>
      <c r="C16" s="2" t="s">
        <v>2559</v>
      </c>
      <c r="D16" s="2" t="s">
        <v>2551</v>
      </c>
      <c r="AG16" s="10" t="s">
        <v>2560</v>
      </c>
      <c r="AH16" s="2" t="s">
        <v>2561</v>
      </c>
      <c r="AO16" s="2">
        <v>19</v>
      </c>
      <c r="AP16" s="2" t="s">
        <v>2562</v>
      </c>
    </row>
    <row r="17" spans="2:42">
      <c r="B17" s="2" t="s">
        <v>2563</v>
      </c>
      <c r="C17" s="2" t="s">
        <v>2563</v>
      </c>
      <c r="D17" s="2" t="s">
        <v>2555</v>
      </c>
      <c r="AG17" s="10" t="s">
        <v>2564</v>
      </c>
      <c r="AH17" s="2" t="s">
        <v>2565</v>
      </c>
      <c r="AO17" s="2">
        <v>20</v>
      </c>
      <c r="AP17" s="2" t="s">
        <v>2566</v>
      </c>
    </row>
    <row r="18" spans="2:42">
      <c r="B18" s="2" t="s">
        <v>2567</v>
      </c>
      <c r="C18" s="2" t="s">
        <v>2567</v>
      </c>
      <c r="D18" s="2" t="s">
        <v>2559</v>
      </c>
      <c r="AG18" s="10" t="s">
        <v>2568</v>
      </c>
      <c r="AH18" s="2" t="s">
        <v>2569</v>
      </c>
      <c r="AO18" s="2">
        <v>21</v>
      </c>
      <c r="AP18" s="2" t="s">
        <v>2570</v>
      </c>
    </row>
    <row r="19" spans="2:42">
      <c r="B19" s="2" t="s">
        <v>2571</v>
      </c>
      <c r="C19" s="2" t="s">
        <v>2571</v>
      </c>
      <c r="D19" s="2" t="s">
        <v>2563</v>
      </c>
      <c r="AG19" s="10" t="s">
        <v>2572</v>
      </c>
      <c r="AH19" s="2" t="s">
        <v>2573</v>
      </c>
      <c r="AO19" s="2">
        <v>22</v>
      </c>
      <c r="AP19" s="2" t="s">
        <v>2574</v>
      </c>
    </row>
    <row r="20" spans="2:42">
      <c r="B20" s="2" t="s">
        <v>2575</v>
      </c>
      <c r="C20" s="2" t="s">
        <v>2575</v>
      </c>
      <c r="D20" s="2" t="s">
        <v>2567</v>
      </c>
      <c r="AG20" s="10" t="s">
        <v>2576</v>
      </c>
      <c r="AH20" s="2" t="s">
        <v>2577</v>
      </c>
      <c r="AO20" s="2">
        <v>23</v>
      </c>
      <c r="AP20" s="2" t="s">
        <v>2578</v>
      </c>
    </row>
    <row r="21" spans="2:42">
      <c r="B21" s="2" t="s">
        <v>2579</v>
      </c>
      <c r="C21" s="2" t="s">
        <v>2579</v>
      </c>
      <c r="D21" s="2" t="s">
        <v>2571</v>
      </c>
      <c r="AG21" s="10" t="s">
        <v>2580</v>
      </c>
      <c r="AH21" s="2" t="s">
        <v>2581</v>
      </c>
      <c r="AO21" s="2">
        <v>24</v>
      </c>
      <c r="AP21" s="2" t="s">
        <v>2582</v>
      </c>
    </row>
    <row r="22" spans="2:42">
      <c r="B22" s="2" t="s">
        <v>2583</v>
      </c>
      <c r="C22" s="2" t="s">
        <v>2583</v>
      </c>
      <c r="D22" s="2" t="s">
        <v>2575</v>
      </c>
      <c r="AG22" s="10" t="s">
        <v>2584</v>
      </c>
      <c r="AH22" s="2" t="s">
        <v>2585</v>
      </c>
      <c r="AO22" s="2">
        <v>25</v>
      </c>
      <c r="AP22" s="2" t="s">
        <v>2586</v>
      </c>
    </row>
    <row r="23" spans="2:42">
      <c r="B23" s="2" t="s">
        <v>2587</v>
      </c>
      <c r="C23" s="2" t="s">
        <v>2587</v>
      </c>
      <c r="D23" s="2" t="s">
        <v>2579</v>
      </c>
      <c r="AG23" s="10" t="s">
        <v>2588</v>
      </c>
      <c r="AH23" s="2" t="s">
        <v>2589</v>
      </c>
      <c r="AO23" s="2">
        <v>26</v>
      </c>
      <c r="AP23" s="2" t="s">
        <v>2590</v>
      </c>
    </row>
    <row r="24" spans="2:42">
      <c r="B24" s="2" t="s">
        <v>2591</v>
      </c>
      <c r="C24" s="2" t="s">
        <v>2591</v>
      </c>
      <c r="D24" s="2" t="s">
        <v>2583</v>
      </c>
      <c r="AG24" s="10" t="s">
        <v>2592</v>
      </c>
      <c r="AH24" s="2" t="s">
        <v>2593</v>
      </c>
      <c r="AO24" s="2">
        <v>27</v>
      </c>
      <c r="AP24" s="2" t="s">
        <v>2594</v>
      </c>
    </row>
    <row r="25" spans="2:42">
      <c r="B25" s="2" t="s">
        <v>2595</v>
      </c>
      <c r="C25" s="2" t="s">
        <v>2595</v>
      </c>
      <c r="D25" s="2" t="s">
        <v>2587</v>
      </c>
      <c r="AG25" s="10" t="s">
        <v>2596</v>
      </c>
      <c r="AH25" s="2" t="s">
        <v>2597</v>
      </c>
      <c r="AO25" s="2">
        <v>28</v>
      </c>
      <c r="AP25" s="2" t="s">
        <v>2598</v>
      </c>
    </row>
    <row r="26" spans="2:42">
      <c r="B26" s="2" t="s">
        <v>2599</v>
      </c>
      <c r="C26" s="2" t="s">
        <v>2599</v>
      </c>
      <c r="D26" s="2" t="s">
        <v>2591</v>
      </c>
      <c r="AG26" s="10" t="s">
        <v>2600</v>
      </c>
      <c r="AH26" s="2" t="s">
        <v>2601</v>
      </c>
      <c r="AO26" s="2">
        <v>29</v>
      </c>
      <c r="AP26" s="2" t="s">
        <v>2602</v>
      </c>
    </row>
    <row r="27" spans="2:42">
      <c r="B27" s="2" t="s">
        <v>2603</v>
      </c>
      <c r="C27" s="2" t="s">
        <v>2603</v>
      </c>
      <c r="D27" s="2" t="s">
        <v>2595</v>
      </c>
      <c r="AG27" s="10" t="s">
        <v>2604</v>
      </c>
      <c r="AH27" s="2" t="s">
        <v>2605</v>
      </c>
      <c r="AO27" s="2">
        <v>30</v>
      </c>
      <c r="AP27" s="2" t="s">
        <v>2606</v>
      </c>
    </row>
    <row r="28" spans="2:42">
      <c r="B28" s="2" t="s">
        <v>1476</v>
      </c>
      <c r="C28" s="2" t="s">
        <v>1476</v>
      </c>
      <c r="D28" s="2" t="s">
        <v>2599</v>
      </c>
      <c r="AG28" s="10" t="s">
        <v>2607</v>
      </c>
      <c r="AH28" s="2" t="s">
        <v>2608</v>
      </c>
      <c r="AO28" s="2">
        <v>31</v>
      </c>
      <c r="AP28" s="2" t="s">
        <v>2609</v>
      </c>
    </row>
    <row r="29" spans="2:42">
      <c r="B29" s="2" t="s">
        <v>2610</v>
      </c>
      <c r="C29" s="2" t="s">
        <v>2610</v>
      </c>
      <c r="D29" s="2" t="s">
        <v>2603</v>
      </c>
      <c r="AG29" s="10" t="s">
        <v>2611</v>
      </c>
      <c r="AH29" s="2" t="s">
        <v>2612</v>
      </c>
      <c r="AO29" s="2">
        <v>32</v>
      </c>
      <c r="AP29" s="2" t="s">
        <v>2613</v>
      </c>
    </row>
    <row r="30" spans="2:42">
      <c r="B30" s="2" t="s">
        <v>2614</v>
      </c>
      <c r="C30" s="2" t="s">
        <v>2614</v>
      </c>
      <c r="D30" s="2" t="s">
        <v>1476</v>
      </c>
      <c r="AG30" s="10" t="s">
        <v>2615</v>
      </c>
      <c r="AH30" s="2" t="s">
        <v>2616</v>
      </c>
      <c r="AO30" s="2">
        <v>33</v>
      </c>
      <c r="AP30" s="2" t="s">
        <v>2617</v>
      </c>
    </row>
    <row r="31" spans="2:42">
      <c r="B31" s="2" t="s">
        <v>2618</v>
      </c>
      <c r="C31" s="2" t="s">
        <v>2618</v>
      </c>
      <c r="D31" s="2" t="s">
        <v>2610</v>
      </c>
      <c r="AG31" s="10" t="s">
        <v>2619</v>
      </c>
      <c r="AH31" s="2" t="s">
        <v>2620</v>
      </c>
      <c r="AO31" s="2">
        <v>34</v>
      </c>
      <c r="AP31" s="2" t="s">
        <v>2621</v>
      </c>
    </row>
    <row r="32" spans="2:42">
      <c r="B32" s="2" t="s">
        <v>2622</v>
      </c>
      <c r="C32" s="2" t="s">
        <v>2622</v>
      </c>
      <c r="D32" s="2" t="s">
        <v>2614</v>
      </c>
      <c r="AG32" s="10" t="s">
        <v>2623</v>
      </c>
      <c r="AH32" s="2" t="s">
        <v>2624</v>
      </c>
      <c r="AO32" s="2">
        <v>35</v>
      </c>
      <c r="AP32" s="2" t="s">
        <v>2625</v>
      </c>
    </row>
    <row r="33" spans="2:42">
      <c r="B33" s="2" t="s">
        <v>2626</v>
      </c>
      <c r="C33" s="2" t="s">
        <v>2626</v>
      </c>
      <c r="D33" s="2" t="s">
        <v>2618</v>
      </c>
      <c r="AG33" s="10" t="s">
        <v>2627</v>
      </c>
      <c r="AH33" s="2" t="s">
        <v>2628</v>
      </c>
      <c r="AO33" s="2">
        <v>36</v>
      </c>
      <c r="AP33" s="2" t="s">
        <v>2629</v>
      </c>
    </row>
    <row r="34" spans="2:42">
      <c r="B34" s="2" t="s">
        <v>2630</v>
      </c>
      <c r="C34" s="2" t="s">
        <v>2630</v>
      </c>
      <c r="D34" s="2" t="s">
        <v>2622</v>
      </c>
      <c r="AG34" s="10" t="s">
        <v>2631</v>
      </c>
      <c r="AH34" s="2" t="s">
        <v>2632</v>
      </c>
      <c r="AO34" s="2">
        <v>37</v>
      </c>
      <c r="AP34" s="2" t="s">
        <v>2633</v>
      </c>
    </row>
    <row r="35" spans="2:42">
      <c r="B35" s="2" t="s">
        <v>2634</v>
      </c>
      <c r="C35" s="2" t="s">
        <v>2634</v>
      </c>
      <c r="D35" s="2" t="s">
        <v>2626</v>
      </c>
      <c r="AG35" s="10" t="s">
        <v>2635</v>
      </c>
      <c r="AH35" s="2" t="s">
        <v>2636</v>
      </c>
      <c r="AO35" s="2">
        <v>38</v>
      </c>
      <c r="AP35" s="2" t="s">
        <v>2637</v>
      </c>
    </row>
    <row r="36" spans="2:42">
      <c r="B36" s="2" t="s">
        <v>2638</v>
      </c>
      <c r="C36" s="2" t="s">
        <v>2638</v>
      </c>
      <c r="D36" s="2" t="s">
        <v>2630</v>
      </c>
      <c r="AG36" s="10" t="s">
        <v>2639</v>
      </c>
      <c r="AH36" s="2" t="s">
        <v>2640</v>
      </c>
      <c r="AO36" s="2">
        <v>39</v>
      </c>
      <c r="AP36" s="2" t="s">
        <v>2641</v>
      </c>
    </row>
    <row r="37" spans="2:42">
      <c r="B37" s="2" t="s">
        <v>2642</v>
      </c>
      <c r="C37" s="2" t="s">
        <v>2642</v>
      </c>
      <c r="D37" s="2" t="s">
        <v>2634</v>
      </c>
      <c r="AG37" s="10" t="s">
        <v>2643</v>
      </c>
      <c r="AH37" s="2" t="s">
        <v>2644</v>
      </c>
      <c r="AO37" s="2">
        <v>40</v>
      </c>
      <c r="AP37" s="2" t="s">
        <v>2645</v>
      </c>
    </row>
    <row r="38" spans="2:42">
      <c r="B38" s="2" t="s">
        <v>2646</v>
      </c>
      <c r="C38" s="2" t="s">
        <v>2646</v>
      </c>
      <c r="D38" s="2" t="s">
        <v>2638</v>
      </c>
      <c r="AG38" s="10" t="s">
        <v>2647</v>
      </c>
      <c r="AH38" s="2" t="s">
        <v>2648</v>
      </c>
      <c r="AO38" s="2">
        <v>41</v>
      </c>
      <c r="AP38" s="2" t="s">
        <v>2649</v>
      </c>
    </row>
    <row r="39" spans="2:42">
      <c r="B39" s="2" t="s">
        <v>2650</v>
      </c>
      <c r="C39" s="2" t="s">
        <v>2650</v>
      </c>
      <c r="D39" s="2" t="s">
        <v>2642</v>
      </c>
      <c r="AG39" s="10" t="s">
        <v>2651</v>
      </c>
      <c r="AH39" s="2" t="s">
        <v>2652</v>
      </c>
      <c r="AO39" s="2">
        <v>42</v>
      </c>
      <c r="AP39" s="2" t="s">
        <v>2653</v>
      </c>
    </row>
    <row r="40" spans="2:42">
      <c r="B40" s="2" t="s">
        <v>2654</v>
      </c>
      <c r="C40" s="2" t="s">
        <v>2654</v>
      </c>
      <c r="D40" s="2" t="s">
        <v>2646</v>
      </c>
      <c r="AG40" s="10" t="s">
        <v>2655</v>
      </c>
      <c r="AH40" s="2" t="s">
        <v>2656</v>
      </c>
      <c r="AO40" s="2">
        <v>43</v>
      </c>
      <c r="AP40" s="2" t="s">
        <v>2657</v>
      </c>
    </row>
    <row r="41" spans="2:42">
      <c r="B41" s="2" t="s">
        <v>2658</v>
      </c>
      <c r="C41" s="2" t="s">
        <v>2658</v>
      </c>
      <c r="D41" s="2" t="s">
        <v>2650</v>
      </c>
      <c r="AG41" s="10" t="s">
        <v>2659</v>
      </c>
      <c r="AH41" s="2" t="s">
        <v>2660</v>
      </c>
      <c r="AO41" s="2">
        <v>44</v>
      </c>
      <c r="AP41" s="2" t="s">
        <v>2661</v>
      </c>
    </row>
    <row r="42" spans="2:42">
      <c r="B42" s="2" t="s">
        <v>2662</v>
      </c>
      <c r="C42" s="2" t="s">
        <v>2662</v>
      </c>
      <c r="D42" s="2" t="s">
        <v>2654</v>
      </c>
      <c r="AG42" s="10" t="s">
        <v>2663</v>
      </c>
      <c r="AH42" s="2" t="s">
        <v>2664</v>
      </c>
      <c r="AO42" s="2">
        <v>45</v>
      </c>
      <c r="AP42" s="2" t="s">
        <v>2665</v>
      </c>
    </row>
    <row r="43" spans="2:42">
      <c r="B43" s="2" t="s">
        <v>2666</v>
      </c>
      <c r="C43" s="2" t="s">
        <v>2666</v>
      </c>
      <c r="D43" s="2" t="s">
        <v>2658</v>
      </c>
      <c r="AG43" s="10" t="s">
        <v>2667</v>
      </c>
      <c r="AH43" s="2" t="s">
        <v>2668</v>
      </c>
      <c r="AO43" s="2">
        <v>46</v>
      </c>
      <c r="AP43" s="2" t="s">
        <v>2669</v>
      </c>
    </row>
    <row r="44" spans="2:42">
      <c r="B44" s="2" t="s">
        <v>2670</v>
      </c>
      <c r="C44" s="2" t="s">
        <v>2670</v>
      </c>
      <c r="D44" s="2" t="s">
        <v>2662</v>
      </c>
      <c r="AG44" s="10" t="s">
        <v>2671</v>
      </c>
      <c r="AH44" s="2" t="s">
        <v>2672</v>
      </c>
      <c r="AO44" s="2">
        <v>99</v>
      </c>
      <c r="AP44" s="2" t="s">
        <v>2673</v>
      </c>
    </row>
    <row r="45" spans="2:42">
      <c r="B45" s="2" t="s">
        <v>2674</v>
      </c>
      <c r="C45" s="2" t="s">
        <v>2674</v>
      </c>
      <c r="D45" s="2" t="s">
        <v>2666</v>
      </c>
      <c r="AG45" s="10" t="s">
        <v>2675</v>
      </c>
      <c r="AH45" s="2" t="s">
        <v>2676</v>
      </c>
    </row>
    <row r="46" spans="2:42">
      <c r="B46" s="2" t="s">
        <v>2677</v>
      </c>
      <c r="C46" s="2" t="s">
        <v>2677</v>
      </c>
      <c r="D46" s="2" t="s">
        <v>2670</v>
      </c>
      <c r="AG46" s="10" t="s">
        <v>2678</v>
      </c>
      <c r="AH46" s="2" t="s">
        <v>2679</v>
      </c>
    </row>
    <row r="47" spans="2:42">
      <c r="B47" s="2" t="s">
        <v>2680</v>
      </c>
      <c r="C47" s="2" t="s">
        <v>2680</v>
      </c>
      <c r="D47" s="2" t="s">
        <v>2674</v>
      </c>
      <c r="AG47" s="10" t="s">
        <v>2681</v>
      </c>
      <c r="AH47" s="2" t="s">
        <v>2682</v>
      </c>
    </row>
    <row r="48" spans="2:42">
      <c r="B48" s="2" t="s">
        <v>2683</v>
      </c>
      <c r="C48" s="2" t="s">
        <v>2683</v>
      </c>
      <c r="D48" s="2" t="s">
        <v>2677</v>
      </c>
      <c r="AG48" s="10" t="s">
        <v>2684</v>
      </c>
      <c r="AH48" s="2" t="s">
        <v>2685</v>
      </c>
    </row>
    <row r="49" spans="2:34">
      <c r="B49" s="2" t="s">
        <v>2686</v>
      </c>
      <c r="C49" s="2" t="s">
        <v>2686</v>
      </c>
      <c r="D49" s="2" t="s">
        <v>2680</v>
      </c>
      <c r="AG49" s="10" t="s">
        <v>2687</v>
      </c>
      <c r="AH49" s="2" t="s">
        <v>2688</v>
      </c>
    </row>
    <row r="50" spans="2:34">
      <c r="D50" s="2" t="s">
        <v>2683</v>
      </c>
      <c r="AG50" s="10" t="s">
        <v>2689</v>
      </c>
      <c r="AH50" s="2" t="s">
        <v>2690</v>
      </c>
    </row>
    <row r="51" spans="2:34">
      <c r="D51" s="2" t="s">
        <v>2686</v>
      </c>
      <c r="AG51" s="10" t="s">
        <v>2691</v>
      </c>
      <c r="AH51" s="2" t="s">
        <v>2692</v>
      </c>
    </row>
    <row r="52" spans="2:34">
      <c r="AG52" s="10" t="s">
        <v>2693</v>
      </c>
      <c r="AH52" s="2" t="s">
        <v>2694</v>
      </c>
    </row>
    <row r="53" spans="2:34">
      <c r="AG53" s="10" t="s">
        <v>2695</v>
      </c>
      <c r="AH53" s="2" t="s">
        <v>2696</v>
      </c>
    </row>
    <row r="54" spans="2:34">
      <c r="AG54" s="10" t="s">
        <v>2697</v>
      </c>
      <c r="AH54" s="2" t="s">
        <v>2698</v>
      </c>
    </row>
    <row r="55" spans="2:34">
      <c r="AG55" s="10" t="s">
        <v>2699</v>
      </c>
      <c r="AH55" s="2" t="s">
        <v>2700</v>
      </c>
    </row>
    <row r="56" spans="2:34">
      <c r="AG56" s="10" t="s">
        <v>2701</v>
      </c>
      <c r="AH56" s="2" t="s">
        <v>2702</v>
      </c>
    </row>
    <row r="57" spans="2:34">
      <c r="AG57" s="10" t="s">
        <v>2703</v>
      </c>
      <c r="AH57" s="2" t="s">
        <v>2704</v>
      </c>
    </row>
    <row r="58" spans="2:34">
      <c r="AG58" s="10" t="s">
        <v>2705</v>
      </c>
      <c r="AH58" s="2" t="s">
        <v>2706</v>
      </c>
    </row>
    <row r="59" spans="2:34">
      <c r="AG59" s="10" t="s">
        <v>2707</v>
      </c>
      <c r="AH59" s="2" t="s">
        <v>2708</v>
      </c>
    </row>
    <row r="60" spans="2:34">
      <c r="AG60" s="10" t="s">
        <v>2709</v>
      </c>
      <c r="AH60" s="2" t="s">
        <v>2710</v>
      </c>
    </row>
    <row r="61" spans="2:34">
      <c r="AG61" s="10" t="s">
        <v>2711</v>
      </c>
      <c r="AH61" s="2" t="s">
        <v>2712</v>
      </c>
    </row>
    <row r="62" spans="2:34">
      <c r="AG62" s="10" t="s">
        <v>2713</v>
      </c>
      <c r="AH62" s="2" t="s">
        <v>2714</v>
      </c>
    </row>
    <row r="63" spans="2:34">
      <c r="AG63" s="10" t="s">
        <v>2715</v>
      </c>
      <c r="AH63" s="2" t="s">
        <v>2716</v>
      </c>
    </row>
    <row r="64" spans="2:34">
      <c r="AG64" s="10" t="s">
        <v>2717</v>
      </c>
      <c r="AH64" s="2" t="s">
        <v>2718</v>
      </c>
    </row>
    <row r="65" spans="33:34">
      <c r="AG65" s="10" t="s">
        <v>2719</v>
      </c>
      <c r="AH65" s="2" t="s">
        <v>2720</v>
      </c>
    </row>
    <row r="66" spans="33:34">
      <c r="AG66" s="10" t="s">
        <v>2721</v>
      </c>
      <c r="AH66" s="2" t="s">
        <v>2722</v>
      </c>
    </row>
    <row r="67" spans="33:34">
      <c r="AG67" s="10" t="s">
        <v>2723</v>
      </c>
      <c r="AH67" s="2" t="s">
        <v>2724</v>
      </c>
    </row>
    <row r="68" spans="33:34">
      <c r="AG68" s="10" t="s">
        <v>2725</v>
      </c>
      <c r="AH68" s="2" t="s">
        <v>2726</v>
      </c>
    </row>
  </sheetData>
  <customSheetViews>
    <customSheetView guid="{E028D9C5-4CBB-430B-B1F8-80DD1ABDFA29}">
      <pane ySplit="2" topLeftCell="A4" activePane="bottomLeft" state="frozen"/>
      <selection pane="bottomLeft" activeCell="K13" sqref="K13"/>
      <pageMargins left="0.7" right="0.7" top="0.75" bottom="0.75" header="0.3" footer="0.3"/>
    </customSheetView>
    <customSheetView guid="{D83ABAE7-1F4C-4C77-8E04-C5172671ED17}" topLeftCell="F1">
      <pane ySplit="2" topLeftCell="A3" activePane="bottomLeft" state="frozen"/>
      <selection pane="bottomLeft" activeCell="K13" sqref="K13"/>
      <pageMargins left="0.7" right="0.7" top="0.75" bottom="0.75" header="0.3" footer="0.3"/>
    </customSheetView>
    <customSheetView guid="{2DA24103-744A-47E0-AFFB-F94A0E194D57}" topLeftCell="F1">
      <pane ySplit="2" topLeftCell="A3" activePane="bottomLeft" state="frozen"/>
      <selection pane="bottomLeft" activeCell="K13" sqref="K13"/>
      <pageMargins left="0.7" right="0.7" top="0.75" bottom="0.75" header="0.3" footer="0.3"/>
    </customSheetView>
  </customSheetViews>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5">
    <tabColor rgb="FFCCFFCC"/>
  </sheetPr>
  <dimension ref="A1:C65"/>
  <sheetViews>
    <sheetView workbookViewId="0">
      <selection activeCell="B8" sqref="B8"/>
    </sheetView>
  </sheetViews>
  <sheetFormatPr defaultColWidth="9" defaultRowHeight="13.5"/>
  <cols>
    <col min="1" max="1" width="52.625" style="4" customWidth="1"/>
    <col min="2" max="2" width="9" style="4" customWidth="1"/>
    <col min="3" max="16384" width="9" style="4"/>
  </cols>
  <sheetData>
    <row r="1" spans="1:3">
      <c r="A1" s="29" t="s">
        <v>2419</v>
      </c>
      <c r="B1" s="29" t="s">
        <v>2467</v>
      </c>
      <c r="C1" s="24" t="s">
        <v>2727</v>
      </c>
    </row>
    <row r="2" spans="1:3">
      <c r="A2" s="29" t="s">
        <v>2698</v>
      </c>
      <c r="B2" s="29" t="s">
        <v>2697</v>
      </c>
    </row>
    <row r="3" spans="1:3">
      <c r="A3" s="29" t="s">
        <v>2478</v>
      </c>
      <c r="B3" s="29" t="s">
        <v>2477</v>
      </c>
    </row>
    <row r="4" spans="1:3">
      <c r="A4" s="29" t="s">
        <v>2490</v>
      </c>
      <c r="B4" s="29" t="s">
        <v>2489</v>
      </c>
    </row>
    <row r="5" spans="1:3">
      <c r="A5" s="29" t="s">
        <v>2502</v>
      </c>
      <c r="B5" s="29" t="s">
        <v>2501</v>
      </c>
    </row>
    <row r="6" spans="1:3">
      <c r="A6" s="29" t="s">
        <v>2513</v>
      </c>
      <c r="B6" s="29" t="s">
        <v>2512</v>
      </c>
    </row>
    <row r="7" spans="1:3">
      <c r="A7" s="29" t="s">
        <v>2524</v>
      </c>
      <c r="B7" s="29" t="s">
        <v>2523</v>
      </c>
    </row>
    <row r="8" spans="1:3">
      <c r="A8" s="29" t="s">
        <v>2531</v>
      </c>
      <c r="B8" s="29" t="s">
        <v>2530</v>
      </c>
    </row>
    <row r="9" spans="1:3">
      <c r="A9" s="29" t="s">
        <v>2537</v>
      </c>
      <c r="B9" s="29" t="s">
        <v>2536</v>
      </c>
    </row>
    <row r="10" spans="1:3">
      <c r="A10" s="29" t="s">
        <v>2728</v>
      </c>
      <c r="B10" s="29" t="s">
        <v>2540</v>
      </c>
    </row>
    <row r="11" spans="1:3">
      <c r="A11" s="29" t="s">
        <v>2545</v>
      </c>
      <c r="B11" s="29" t="s">
        <v>2544</v>
      </c>
    </row>
    <row r="12" spans="1:3">
      <c r="A12" s="29" t="s">
        <v>2549</v>
      </c>
      <c r="B12" s="29" t="s">
        <v>2548</v>
      </c>
    </row>
    <row r="13" spans="1:3">
      <c r="A13" s="29" t="s">
        <v>2553</v>
      </c>
      <c r="B13" s="29" t="s">
        <v>2552</v>
      </c>
    </row>
    <row r="14" spans="1:3">
      <c r="A14" s="29" t="s">
        <v>2557</v>
      </c>
      <c r="B14" s="29" t="s">
        <v>2556</v>
      </c>
    </row>
    <row r="15" spans="1:3">
      <c r="A15" s="29" t="s">
        <v>2729</v>
      </c>
      <c r="B15" s="29" t="s">
        <v>2560</v>
      </c>
    </row>
    <row r="16" spans="1:3">
      <c r="A16" s="29" t="s">
        <v>2730</v>
      </c>
      <c r="B16" s="29" t="s">
        <v>2564</v>
      </c>
    </row>
    <row r="17" spans="1:2">
      <c r="A17" s="29" t="s">
        <v>2569</v>
      </c>
      <c r="B17" s="29" t="s">
        <v>2568</v>
      </c>
    </row>
    <row r="18" spans="1:2">
      <c r="A18" s="29" t="s">
        <v>2731</v>
      </c>
      <c r="B18" s="29" t="s">
        <v>2572</v>
      </c>
    </row>
    <row r="19" spans="1:2">
      <c r="A19" s="29" t="s">
        <v>2577</v>
      </c>
      <c r="B19" s="29" t="s">
        <v>2576</v>
      </c>
    </row>
    <row r="20" spans="1:2">
      <c r="A20" s="29" t="s">
        <v>2581</v>
      </c>
      <c r="B20" s="29" t="s">
        <v>2580</v>
      </c>
    </row>
    <row r="21" spans="1:2">
      <c r="A21" s="29" t="s">
        <v>2732</v>
      </c>
      <c r="B21" s="29" t="s">
        <v>2584</v>
      </c>
    </row>
    <row r="22" spans="1:2">
      <c r="A22" s="29" t="s">
        <v>2593</v>
      </c>
      <c r="B22" s="29" t="s">
        <v>2592</v>
      </c>
    </row>
    <row r="23" spans="1:2">
      <c r="A23" s="29" t="s">
        <v>2597</v>
      </c>
      <c r="B23" s="29" t="s">
        <v>2596</v>
      </c>
    </row>
    <row r="24" spans="1:2">
      <c r="A24" s="29" t="s">
        <v>2601</v>
      </c>
      <c r="B24" s="29" t="s">
        <v>2600</v>
      </c>
    </row>
    <row r="25" spans="1:2">
      <c r="A25" s="29" t="s">
        <v>2605</v>
      </c>
      <c r="B25" s="29" t="s">
        <v>2604</v>
      </c>
    </row>
    <row r="26" spans="1:2">
      <c r="A26" s="29" t="s">
        <v>2608</v>
      </c>
      <c r="B26" s="29" t="s">
        <v>2607</v>
      </c>
    </row>
    <row r="27" spans="1:2">
      <c r="A27" s="29" t="s">
        <v>2612</v>
      </c>
      <c r="B27" s="29" t="s">
        <v>2611</v>
      </c>
    </row>
    <row r="28" spans="1:2">
      <c r="A28" s="29" t="s">
        <v>2733</v>
      </c>
      <c r="B28" s="29" t="s">
        <v>2615</v>
      </c>
    </row>
    <row r="29" spans="1:2">
      <c r="A29" s="29" t="s">
        <v>2620</v>
      </c>
      <c r="B29" s="29" t="s">
        <v>2619</v>
      </c>
    </row>
    <row r="30" spans="1:2">
      <c r="A30" s="29" t="s">
        <v>2734</v>
      </c>
      <c r="B30" s="29" t="s">
        <v>2623</v>
      </c>
    </row>
    <row r="31" spans="1:2">
      <c r="A31" s="29" t="s">
        <v>2735</v>
      </c>
      <c r="B31" s="29" t="s">
        <v>2627</v>
      </c>
    </row>
    <row r="32" spans="1:2">
      <c r="A32" s="29" t="s">
        <v>2632</v>
      </c>
      <c r="B32" s="29" t="s">
        <v>2631</v>
      </c>
    </row>
    <row r="33" spans="1:2">
      <c r="A33" s="29" t="s">
        <v>2636</v>
      </c>
      <c r="B33" s="29" t="s">
        <v>2635</v>
      </c>
    </row>
    <row r="34" spans="1:2">
      <c r="A34" s="29" t="s">
        <v>2640</v>
      </c>
      <c r="B34" s="29" t="s">
        <v>2639</v>
      </c>
    </row>
    <row r="35" spans="1:2">
      <c r="A35" s="29" t="s">
        <v>2644</v>
      </c>
      <c r="B35" s="29" t="s">
        <v>2643</v>
      </c>
    </row>
    <row r="36" spans="1:2">
      <c r="A36" s="29" t="s">
        <v>2648</v>
      </c>
      <c r="B36" s="29" t="s">
        <v>2647</v>
      </c>
    </row>
    <row r="37" spans="1:2">
      <c r="A37" s="29" t="s">
        <v>2736</v>
      </c>
      <c r="B37" s="29" t="s">
        <v>2651</v>
      </c>
    </row>
    <row r="38" spans="1:2">
      <c r="A38" s="29" t="s">
        <v>2737</v>
      </c>
      <c r="B38" s="29" t="s">
        <v>2655</v>
      </c>
    </row>
    <row r="39" spans="1:2">
      <c r="A39" s="29" t="s">
        <v>2660</v>
      </c>
      <c r="B39" s="29" t="s">
        <v>2659</v>
      </c>
    </row>
    <row r="40" spans="1:2">
      <c r="A40" s="29" t="s">
        <v>2664</v>
      </c>
      <c r="B40" s="29" t="s">
        <v>2663</v>
      </c>
    </row>
    <row r="41" spans="1:2">
      <c r="A41" s="29" t="s">
        <v>2668</v>
      </c>
      <c r="B41" s="29" t="s">
        <v>2667</v>
      </c>
    </row>
    <row r="42" spans="1:2">
      <c r="A42" s="29" t="s">
        <v>2672</v>
      </c>
      <c r="B42" s="29" t="s">
        <v>2671</v>
      </c>
    </row>
    <row r="43" spans="1:2">
      <c r="A43" s="29" t="s">
        <v>2676</v>
      </c>
      <c r="B43" s="29" t="s">
        <v>2675</v>
      </c>
    </row>
    <row r="44" spans="1:2">
      <c r="A44" s="29" t="s">
        <v>2738</v>
      </c>
      <c r="B44" s="29" t="s">
        <v>2678</v>
      </c>
    </row>
    <row r="45" spans="1:2">
      <c r="A45" s="29" t="s">
        <v>2739</v>
      </c>
      <c r="B45" s="29" t="s">
        <v>2681</v>
      </c>
    </row>
    <row r="46" spans="1:2">
      <c r="A46" s="29" t="s">
        <v>2685</v>
      </c>
      <c r="B46" s="29" t="s">
        <v>2684</v>
      </c>
    </row>
    <row r="47" spans="1:2">
      <c r="A47" s="29" t="s">
        <v>2740</v>
      </c>
      <c r="B47" s="29" t="s">
        <v>2687</v>
      </c>
    </row>
    <row r="48" spans="1:2">
      <c r="A48" s="29" t="s">
        <v>2741</v>
      </c>
      <c r="B48" s="29" t="s">
        <v>2689</v>
      </c>
    </row>
    <row r="49" spans="1:2">
      <c r="A49" s="29" t="s">
        <v>2742</v>
      </c>
      <c r="B49" s="29" t="s">
        <v>2691</v>
      </c>
    </row>
    <row r="50" spans="1:2">
      <c r="A50" s="29" t="s">
        <v>2694</v>
      </c>
      <c r="B50" s="29" t="s">
        <v>2693</v>
      </c>
    </row>
    <row r="51" spans="1:2">
      <c r="A51" s="29" t="s">
        <v>2696</v>
      </c>
      <c r="B51" s="29" t="s">
        <v>2695</v>
      </c>
    </row>
    <row r="52" spans="1:2">
      <c r="A52" s="29" t="s">
        <v>2743</v>
      </c>
      <c r="B52" s="29" t="s">
        <v>2699</v>
      </c>
    </row>
    <row r="53" spans="1:2">
      <c r="A53" s="29" t="s">
        <v>2702</v>
      </c>
      <c r="B53" s="29" t="s">
        <v>2701</v>
      </c>
    </row>
    <row r="54" spans="1:2">
      <c r="A54" s="29" t="s">
        <v>2704</v>
      </c>
      <c r="B54" s="29" t="s">
        <v>2703</v>
      </c>
    </row>
    <row r="55" spans="1:2">
      <c r="A55" s="29" t="s">
        <v>2706</v>
      </c>
      <c r="B55" s="29" t="s">
        <v>2705</v>
      </c>
    </row>
    <row r="56" spans="1:2">
      <c r="A56" s="29" t="s">
        <v>2708</v>
      </c>
      <c r="B56" s="29" t="s">
        <v>2707</v>
      </c>
    </row>
    <row r="57" spans="1:2">
      <c r="A57" s="29" t="s">
        <v>2710</v>
      </c>
      <c r="B57" s="29" t="s">
        <v>2709</v>
      </c>
    </row>
    <row r="58" spans="1:2">
      <c r="A58" s="29" t="s">
        <v>2712</v>
      </c>
      <c r="B58" s="29" t="s">
        <v>2711</v>
      </c>
    </row>
    <row r="59" spans="1:2">
      <c r="A59" s="29" t="s">
        <v>2714</v>
      </c>
      <c r="B59" s="29" t="s">
        <v>2713</v>
      </c>
    </row>
    <row r="60" spans="1:2">
      <c r="A60" s="29" t="s">
        <v>2716</v>
      </c>
      <c r="B60" s="29" t="s">
        <v>2715</v>
      </c>
    </row>
    <row r="61" spans="1:2">
      <c r="A61" s="29" t="s">
        <v>2718</v>
      </c>
      <c r="B61" s="29" t="s">
        <v>2717</v>
      </c>
    </row>
    <row r="62" spans="1:2">
      <c r="A62" s="29" t="s">
        <v>2744</v>
      </c>
      <c r="B62" s="29" t="s">
        <v>2719</v>
      </c>
    </row>
    <row r="63" spans="1:2">
      <c r="A63" s="29" t="s">
        <v>2722</v>
      </c>
      <c r="B63" s="29" t="s">
        <v>2721</v>
      </c>
    </row>
    <row r="64" spans="1:2">
      <c r="A64" s="29" t="s">
        <v>2724</v>
      </c>
      <c r="B64" s="29" t="s">
        <v>2723</v>
      </c>
    </row>
    <row r="65" spans="1:2">
      <c r="A65" s="29" t="s">
        <v>1668</v>
      </c>
      <c r="B65" s="29" t="s">
        <v>2725</v>
      </c>
    </row>
  </sheetData>
  <customSheetViews>
    <customSheetView guid="{E028D9C5-4CBB-430B-B1F8-80DD1ABDFA29}">
      <pageMargins left="0.7" right="0.7" top="0.75" bottom="0.75" header="0.3" footer="0.3"/>
      <pageSetup paperSize="9" orientation="portrait"/>
    </customSheetView>
    <customSheetView guid="{D83ABAE7-1F4C-4C77-8E04-C5172671ED17}">
      <pageMargins left="0.7" right="0.7" top="0.75" bottom="0.75" header="0.3" footer="0.3"/>
      <pageSetup paperSize="9" orientation="portrait" r:id="rId1"/>
    </customSheetView>
    <customSheetView guid="{2DA24103-744A-47E0-AFFB-F94A0E194D57}">
      <pageMargins left="0.7" right="0.7" top="0.75" bottom="0.75" header="0.3" footer="0.3"/>
      <pageSetup paperSize="9" orientation="portrait" r:id="rId2"/>
    </customSheetView>
  </customSheetViews>
  <phoneticPr fontId="7"/>
  <hyperlinks>
    <hyperlink ref="C1" location="トップ!A1" display="トップ" xr:uid="{00000000-0004-0000-0500-000000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4">
    <tabColor rgb="FFCCFFCC"/>
  </sheetPr>
  <dimension ref="A1:U37"/>
  <sheetViews>
    <sheetView topLeftCell="B1" workbookViewId="0">
      <selection activeCell="O2" sqref="O2"/>
    </sheetView>
  </sheetViews>
  <sheetFormatPr defaultColWidth="9" defaultRowHeight="13.5"/>
  <cols>
    <col min="1" max="1" width="9" style="4" customWidth="1"/>
    <col min="2" max="2" width="9" style="4" bestFit="1" customWidth="1"/>
    <col min="3" max="3" width="32.75" style="4" bestFit="1" customWidth="1"/>
    <col min="4" max="4" width="13" style="4" bestFit="1" customWidth="1"/>
    <col min="5" max="7" width="3.375" style="4" bestFit="1" customWidth="1"/>
    <col min="8" max="8" width="3.375" style="4" customWidth="1"/>
    <col min="9" max="9" width="3.375" style="4" bestFit="1" customWidth="1"/>
    <col min="10" max="10" width="4.375" style="4" bestFit="1" customWidth="1"/>
    <col min="11" max="11" width="24.125" style="4" bestFit="1" customWidth="1"/>
    <col min="12" max="12" width="20.375" style="4" bestFit="1" customWidth="1"/>
    <col min="13" max="13" width="36.125" style="4" bestFit="1" customWidth="1"/>
    <col min="14" max="14" width="55.25" style="4" bestFit="1" customWidth="1"/>
    <col min="15" max="15" width="6.75" style="4" bestFit="1" customWidth="1"/>
    <col min="16" max="19" width="3.375" style="4" bestFit="1" customWidth="1"/>
    <col min="20" max="20" width="3.375" style="4" customWidth="1"/>
    <col min="21" max="21" width="3.625" style="4" customWidth="1"/>
    <col min="22" max="22" width="9" style="4" customWidth="1"/>
    <col min="23" max="16384" width="9" style="4"/>
  </cols>
  <sheetData>
    <row r="1" spans="1:21">
      <c r="A1" s="1" t="s">
        <v>2727</v>
      </c>
      <c r="I1" s="28" t="s">
        <v>2745</v>
      </c>
      <c r="K1" s="4" t="s">
        <v>2746</v>
      </c>
      <c r="L1" s="4" t="s">
        <v>2747</v>
      </c>
      <c r="Q1" s="26" t="s">
        <v>2473</v>
      </c>
      <c r="R1" s="4">
        <v>11</v>
      </c>
      <c r="S1" s="4" t="s">
        <v>2748</v>
      </c>
      <c r="T1" s="4" t="s">
        <v>2749</v>
      </c>
    </row>
    <row r="2" spans="1:21">
      <c r="B2" s="4" t="s">
        <v>2750</v>
      </c>
      <c r="C2" s="4" t="s">
        <v>2751</v>
      </c>
      <c r="D2" s="4" t="s">
        <v>402</v>
      </c>
      <c r="E2" s="4">
        <v>21</v>
      </c>
      <c r="F2" s="4" t="s">
        <v>2752</v>
      </c>
      <c r="G2" s="4">
        <v>1</v>
      </c>
      <c r="H2" s="4">
        <v>1</v>
      </c>
      <c r="I2" s="28" t="s">
        <v>2753</v>
      </c>
      <c r="J2" s="4">
        <v>100</v>
      </c>
      <c r="K2" s="4" t="s">
        <v>2754</v>
      </c>
      <c r="L2" s="4" t="s">
        <v>2755</v>
      </c>
      <c r="M2" s="25" t="s">
        <v>2756</v>
      </c>
      <c r="N2" s="4" t="s">
        <v>2757</v>
      </c>
      <c r="O2" s="27" t="s">
        <v>2758</v>
      </c>
      <c r="P2" s="28" t="s">
        <v>2759</v>
      </c>
      <c r="Q2" s="26" t="s">
        <v>2485</v>
      </c>
      <c r="R2" s="4">
        <v>12</v>
      </c>
      <c r="S2" s="4" t="s">
        <v>2760</v>
      </c>
      <c r="T2" s="4" t="s">
        <v>2761</v>
      </c>
      <c r="U2" s="4" t="s">
        <v>2762</v>
      </c>
    </row>
    <row r="3" spans="1:21">
      <c r="A3" s="4" t="s">
        <v>2763</v>
      </c>
      <c r="B3" s="4" t="s">
        <v>2764</v>
      </c>
      <c r="C3" s="4" t="s">
        <v>2765</v>
      </c>
      <c r="D3" s="4" t="s">
        <v>2499</v>
      </c>
      <c r="E3" s="4">
        <v>22</v>
      </c>
      <c r="F3" s="4" t="s">
        <v>2766</v>
      </c>
      <c r="G3" s="4">
        <v>2</v>
      </c>
      <c r="H3" s="4">
        <v>2</v>
      </c>
      <c r="J3" s="4">
        <v>125</v>
      </c>
      <c r="K3" s="4" t="s">
        <v>2767</v>
      </c>
      <c r="L3" s="4" t="s">
        <v>2768</v>
      </c>
      <c r="M3" s="25" t="s">
        <v>2769</v>
      </c>
      <c r="N3" s="4" t="s">
        <v>2770</v>
      </c>
      <c r="O3" s="27" t="s">
        <v>2771</v>
      </c>
      <c r="Q3" s="26" t="s">
        <v>2497</v>
      </c>
      <c r="R3" s="4">
        <v>13</v>
      </c>
      <c r="T3" s="4" t="s">
        <v>2772</v>
      </c>
    </row>
    <row r="4" spans="1:21">
      <c r="A4" s="4" t="s">
        <v>2773</v>
      </c>
      <c r="C4" s="4" t="s">
        <v>2774</v>
      </c>
      <c r="D4" s="4" t="s">
        <v>2475</v>
      </c>
      <c r="E4" s="4">
        <v>23</v>
      </c>
      <c r="G4" s="4">
        <v>3</v>
      </c>
      <c r="H4" s="4">
        <v>3</v>
      </c>
      <c r="J4" s="4">
        <v>165</v>
      </c>
      <c r="K4" s="4" t="s">
        <v>2775</v>
      </c>
      <c r="L4" s="4" t="s">
        <v>2776</v>
      </c>
      <c r="M4" s="25" t="s">
        <v>2777</v>
      </c>
      <c r="N4" s="4" t="s">
        <v>2778</v>
      </c>
      <c r="Q4" s="26" t="s">
        <v>2508</v>
      </c>
      <c r="R4" s="4">
        <v>14</v>
      </c>
    </row>
    <row r="5" spans="1:21">
      <c r="A5" s="4" t="s">
        <v>2444</v>
      </c>
      <c r="C5" s="4" t="s">
        <v>2779</v>
      </c>
      <c r="E5" s="4">
        <v>24</v>
      </c>
      <c r="G5" s="4">
        <v>4</v>
      </c>
      <c r="H5" s="4">
        <v>4</v>
      </c>
      <c r="L5" s="4" t="s">
        <v>2780</v>
      </c>
      <c r="M5" s="25" t="s">
        <v>2781</v>
      </c>
      <c r="N5" s="4" t="s">
        <v>2782</v>
      </c>
      <c r="Q5" s="26" t="s">
        <v>2519</v>
      </c>
      <c r="R5" s="4">
        <v>15</v>
      </c>
    </row>
    <row r="6" spans="1:21">
      <c r="C6" s="4" t="s">
        <v>2783</v>
      </c>
      <c r="E6" s="4">
        <v>25</v>
      </c>
      <c r="G6" s="4">
        <v>5</v>
      </c>
      <c r="H6" s="4">
        <v>5</v>
      </c>
      <c r="L6" s="4" t="s">
        <v>2784</v>
      </c>
      <c r="M6" s="25" t="s">
        <v>2785</v>
      </c>
      <c r="N6" s="4" t="s">
        <v>2786</v>
      </c>
      <c r="Q6" s="26"/>
      <c r="R6" s="4">
        <v>16</v>
      </c>
    </row>
    <row r="7" spans="1:21">
      <c r="E7" s="4">
        <v>26</v>
      </c>
      <c r="G7" s="4">
        <v>6</v>
      </c>
      <c r="H7" s="4">
        <v>6</v>
      </c>
      <c r="L7" s="4" t="s">
        <v>2787</v>
      </c>
      <c r="M7" s="25" t="s">
        <v>2788</v>
      </c>
      <c r="N7" s="4" t="s">
        <v>2789</v>
      </c>
      <c r="R7" s="4">
        <v>17</v>
      </c>
    </row>
    <row r="8" spans="1:21">
      <c r="E8" s="4">
        <v>27</v>
      </c>
      <c r="G8" s="4">
        <v>7</v>
      </c>
      <c r="H8" s="4">
        <v>7</v>
      </c>
      <c r="L8" s="4" t="s">
        <v>2790</v>
      </c>
      <c r="M8" s="25" t="s">
        <v>2791</v>
      </c>
      <c r="N8" s="4" t="s">
        <v>2792</v>
      </c>
      <c r="R8" s="4">
        <v>18</v>
      </c>
    </row>
    <row r="9" spans="1:21">
      <c r="E9" s="4">
        <v>28</v>
      </c>
      <c r="G9" s="4">
        <v>8</v>
      </c>
      <c r="H9" s="4">
        <v>8</v>
      </c>
      <c r="L9" s="4" t="s">
        <v>2793</v>
      </c>
      <c r="M9" s="25" t="s">
        <v>2794</v>
      </c>
      <c r="N9" s="4" t="s">
        <v>2795</v>
      </c>
      <c r="R9" s="4">
        <v>19</v>
      </c>
    </row>
    <row r="10" spans="1:21">
      <c r="E10" s="4">
        <v>29</v>
      </c>
      <c r="G10" s="4">
        <v>9</v>
      </c>
      <c r="H10" s="4">
        <v>9</v>
      </c>
      <c r="L10" s="4" t="s">
        <v>2796</v>
      </c>
      <c r="M10" s="25" t="s">
        <v>2797</v>
      </c>
      <c r="N10" s="4" t="s">
        <v>2798</v>
      </c>
      <c r="R10" s="4">
        <v>20</v>
      </c>
    </row>
    <row r="11" spans="1:21">
      <c r="E11" s="4">
        <v>30</v>
      </c>
      <c r="G11" s="4">
        <v>10</v>
      </c>
      <c r="H11" s="4">
        <v>10</v>
      </c>
      <c r="L11" s="4" t="s">
        <v>2799</v>
      </c>
      <c r="M11" s="25" t="s">
        <v>2800</v>
      </c>
      <c r="N11" s="4" t="s">
        <v>2801</v>
      </c>
      <c r="R11" s="4">
        <v>21</v>
      </c>
    </row>
    <row r="12" spans="1:21">
      <c r="E12" s="4">
        <v>31</v>
      </c>
      <c r="G12" s="4">
        <v>11</v>
      </c>
      <c r="H12" s="4">
        <v>11</v>
      </c>
      <c r="L12" s="4" t="s">
        <v>2802</v>
      </c>
      <c r="M12" s="25" t="s">
        <v>2803</v>
      </c>
      <c r="N12" s="4" t="s">
        <v>2804</v>
      </c>
      <c r="R12" s="4">
        <v>22</v>
      </c>
    </row>
    <row r="13" spans="1:21">
      <c r="E13" s="4">
        <v>1</v>
      </c>
      <c r="G13" s="4">
        <v>12</v>
      </c>
      <c r="H13" s="4">
        <v>12</v>
      </c>
      <c r="L13" s="4" t="s">
        <v>1774</v>
      </c>
      <c r="M13" s="25" t="s">
        <v>2805</v>
      </c>
      <c r="R13" s="4">
        <v>23</v>
      </c>
    </row>
    <row r="14" spans="1:21">
      <c r="E14" s="4">
        <v>2</v>
      </c>
      <c r="G14" s="4">
        <v>13</v>
      </c>
      <c r="M14" s="25" t="s">
        <v>2806</v>
      </c>
      <c r="R14" s="4">
        <v>24</v>
      </c>
    </row>
    <row r="15" spans="1:21">
      <c r="E15" s="4">
        <v>3</v>
      </c>
      <c r="G15" s="4">
        <v>14</v>
      </c>
      <c r="M15" s="25" t="s">
        <v>2807</v>
      </c>
      <c r="R15" s="4">
        <v>25</v>
      </c>
    </row>
    <row r="16" spans="1:21">
      <c r="E16" s="4">
        <v>4</v>
      </c>
      <c r="G16" s="4">
        <v>15</v>
      </c>
      <c r="M16" s="25" t="s">
        <v>2808</v>
      </c>
      <c r="R16" s="4">
        <v>26</v>
      </c>
    </row>
    <row r="17" spans="5:18">
      <c r="E17" s="4">
        <v>5</v>
      </c>
      <c r="G17" s="4">
        <v>16</v>
      </c>
      <c r="M17" s="25" t="s">
        <v>2809</v>
      </c>
      <c r="R17" s="4">
        <v>27</v>
      </c>
    </row>
    <row r="18" spans="5:18">
      <c r="E18" s="4">
        <v>6</v>
      </c>
      <c r="G18" s="4">
        <v>17</v>
      </c>
      <c r="M18" s="25" t="s">
        <v>2810</v>
      </c>
      <c r="R18" s="4">
        <v>28</v>
      </c>
    </row>
    <row r="19" spans="5:18">
      <c r="E19" s="4">
        <v>7</v>
      </c>
      <c r="G19" s="4">
        <v>18</v>
      </c>
      <c r="M19" s="25" t="s">
        <v>2811</v>
      </c>
      <c r="R19" s="4">
        <v>29</v>
      </c>
    </row>
    <row r="20" spans="5:18">
      <c r="E20" s="4">
        <v>8</v>
      </c>
      <c r="G20" s="4">
        <v>19</v>
      </c>
      <c r="M20" s="25" t="s">
        <v>2812</v>
      </c>
      <c r="R20" s="4">
        <v>30</v>
      </c>
    </row>
    <row r="21" spans="5:18">
      <c r="E21" s="4">
        <v>9</v>
      </c>
      <c r="G21" s="4">
        <v>20</v>
      </c>
      <c r="R21" s="4">
        <v>31</v>
      </c>
    </row>
    <row r="22" spans="5:18">
      <c r="E22" s="4">
        <v>10</v>
      </c>
      <c r="G22" s="4">
        <v>21</v>
      </c>
      <c r="R22" s="4">
        <v>32</v>
      </c>
    </row>
    <row r="23" spans="5:18">
      <c r="G23" s="4">
        <v>22</v>
      </c>
      <c r="R23" s="4">
        <v>33</v>
      </c>
    </row>
    <row r="24" spans="5:18">
      <c r="G24" s="4">
        <v>23</v>
      </c>
      <c r="R24" s="4">
        <v>34</v>
      </c>
    </row>
    <row r="25" spans="5:18">
      <c r="G25" s="4">
        <v>24</v>
      </c>
      <c r="R25" s="4">
        <v>35</v>
      </c>
    </row>
    <row r="26" spans="5:18">
      <c r="G26" s="4">
        <v>25</v>
      </c>
      <c r="R26" s="4">
        <v>36</v>
      </c>
    </row>
    <row r="27" spans="5:18">
      <c r="G27" s="4">
        <v>26</v>
      </c>
      <c r="R27" s="4">
        <v>37</v>
      </c>
    </row>
    <row r="28" spans="5:18">
      <c r="G28" s="4">
        <v>27</v>
      </c>
      <c r="R28" s="4">
        <v>38</v>
      </c>
    </row>
    <row r="29" spans="5:18">
      <c r="G29" s="4">
        <v>28</v>
      </c>
      <c r="R29" s="4">
        <v>39</v>
      </c>
    </row>
    <row r="30" spans="5:18">
      <c r="G30" s="4">
        <v>29</v>
      </c>
      <c r="R30" s="4">
        <v>40</v>
      </c>
    </row>
    <row r="31" spans="5:18">
      <c r="G31" s="4">
        <v>30</v>
      </c>
      <c r="R31" s="4">
        <v>41</v>
      </c>
    </row>
    <row r="32" spans="5:18">
      <c r="G32" s="4">
        <v>31</v>
      </c>
      <c r="R32" s="4">
        <v>42</v>
      </c>
    </row>
    <row r="33" spans="18:18">
      <c r="R33" s="4">
        <v>43</v>
      </c>
    </row>
    <row r="34" spans="18:18">
      <c r="R34" s="4">
        <v>44</v>
      </c>
    </row>
    <row r="35" spans="18:18">
      <c r="R35" s="4">
        <v>45</v>
      </c>
    </row>
    <row r="36" spans="18:18">
      <c r="R36" s="4">
        <v>46</v>
      </c>
    </row>
    <row r="37" spans="18:18">
      <c r="R37" s="4">
        <v>99</v>
      </c>
    </row>
  </sheetData>
  <customSheetViews>
    <customSheetView guid="{E028D9C5-4CBB-430B-B1F8-80DD1ABDFA29}" topLeftCell="B1">
      <selection activeCell="O2" sqref="O2"/>
      <pageMargins left="0.7" right="0.7" top="0.75" bottom="0.75" header="0.3" footer="0.3"/>
      <pageSetup paperSize="9" orientation="portrait"/>
    </customSheetView>
    <customSheetView guid="{D83ABAE7-1F4C-4C77-8E04-C5172671ED17}" topLeftCell="B1">
      <selection activeCell="O2" sqref="O2"/>
      <pageMargins left="0.7" right="0.7" top="0.75" bottom="0.75" header="0.3" footer="0.3"/>
      <pageSetup paperSize="9" orientation="portrait" r:id="rId1"/>
    </customSheetView>
    <customSheetView guid="{2DA24103-744A-47E0-AFFB-F94A0E194D57}" topLeftCell="B1">
      <selection activeCell="O2" sqref="O2"/>
      <pageMargins left="0.7" right="0.7" top="0.75" bottom="0.75" header="0.3" footer="0.3"/>
      <pageSetup paperSize="9" orientation="portrait" r:id="rId2"/>
    </customSheetView>
  </customSheetViews>
  <phoneticPr fontId="7"/>
  <hyperlinks>
    <hyperlink ref="A1" location="トップ!A1" display="トップ" xr:uid="{00000000-0004-0000-0600-000000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C806-66DC-4180-B6B0-0B3587E860BA}">
  <dimension ref="A1:C7"/>
  <sheetViews>
    <sheetView workbookViewId="0"/>
  </sheetViews>
  <sheetFormatPr defaultColWidth="9" defaultRowHeight="13.5"/>
  <cols>
    <col min="1" max="1" width="5.375" style="3" customWidth="1"/>
    <col min="2" max="2" width="3.125" style="3" customWidth="1"/>
    <col min="3" max="3" width="9" style="3" customWidth="1"/>
    <col min="4" max="16384" width="9" style="3"/>
  </cols>
  <sheetData>
    <row r="1" spans="1:3" ht="14.25">
      <c r="A1" s="682" t="s">
        <v>2813</v>
      </c>
    </row>
    <row r="3" spans="1:3" ht="14.25">
      <c r="B3" s="314"/>
      <c r="C3" s="682" t="s">
        <v>2814</v>
      </c>
    </row>
    <row r="4" spans="1:3" ht="6.75" customHeight="1">
      <c r="C4" s="682"/>
    </row>
    <row r="5" spans="1:3" ht="14.25">
      <c r="B5" s="315" t="s">
        <v>2815</v>
      </c>
      <c r="C5" s="682" t="s">
        <v>2816</v>
      </c>
    </row>
    <row r="6" spans="1:3" ht="6.75" customHeight="1">
      <c r="C6" s="682"/>
    </row>
    <row r="7" spans="1:3" ht="14.25">
      <c r="B7" s="316"/>
      <c r="C7" s="682" t="s">
        <v>2817</v>
      </c>
    </row>
  </sheetData>
  <phoneticPr fontId="7"/>
  <dataValidations count="1">
    <dataValidation showInputMessage="1" showErrorMessage="1" sqref="B5" xr:uid="{794019B0-ECA7-4E94-A52E-AE9F73E200B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A3CB-BF9E-4C8B-8ACC-B382A6C44189}">
  <sheetPr>
    <tabColor rgb="FFCCFFCC"/>
  </sheetPr>
  <dimension ref="A1:AB122"/>
  <sheetViews>
    <sheetView zoomScaleNormal="100" zoomScaleSheetLayoutView="100" workbookViewId="0">
      <selection activeCell="AF18" sqref="AF18"/>
    </sheetView>
  </sheetViews>
  <sheetFormatPr defaultRowHeight="12"/>
  <cols>
    <col min="1" max="27" width="3.125" style="324" customWidth="1"/>
    <col min="28" max="28" width="1.75" style="324" customWidth="1"/>
    <col min="29" max="29" width="9" style="324" customWidth="1"/>
    <col min="30" max="30" width="10.25" style="324" bestFit="1" customWidth="1"/>
    <col min="31" max="31" width="14.125" style="324" bestFit="1" customWidth="1"/>
    <col min="32" max="256" width="9" style="324" customWidth="1"/>
    <col min="257" max="283" width="3.125" style="324" customWidth="1"/>
    <col min="284" max="284" width="1.75" style="324" customWidth="1"/>
    <col min="285" max="285" width="9" style="324" customWidth="1"/>
    <col min="286" max="286" width="10.25" style="324" bestFit="1" customWidth="1"/>
    <col min="287" max="287" width="14.125" style="324" bestFit="1" customWidth="1"/>
    <col min="288" max="512" width="9" style="324" customWidth="1"/>
    <col min="513" max="539" width="3.125" style="324" customWidth="1"/>
    <col min="540" max="540" width="1.75" style="324" customWidth="1"/>
    <col min="541" max="541" width="9" style="324" customWidth="1"/>
    <col min="542" max="542" width="10.25" style="324" bestFit="1" customWidth="1"/>
    <col min="543" max="543" width="14.125" style="324" bestFit="1" customWidth="1"/>
    <col min="544" max="768" width="9" style="324" customWidth="1"/>
    <col min="769" max="795" width="3.125" style="324" customWidth="1"/>
    <col min="796" max="796" width="1.75" style="324" customWidth="1"/>
    <col min="797" max="797" width="9" style="324" customWidth="1"/>
    <col min="798" max="798" width="10.25" style="324" bestFit="1" customWidth="1"/>
    <col min="799" max="799" width="14.125" style="324" bestFit="1" customWidth="1"/>
    <col min="800" max="1024" width="9" style="324" customWidth="1"/>
    <col min="1025" max="1051" width="3.125" style="324" customWidth="1"/>
    <col min="1052" max="1052" width="1.75" style="324" customWidth="1"/>
    <col min="1053" max="1053" width="9" style="324" customWidth="1"/>
    <col min="1054" max="1054" width="10.25" style="324" bestFit="1" customWidth="1"/>
    <col min="1055" max="1055" width="14.125" style="324" bestFit="1" customWidth="1"/>
    <col min="1056" max="1280" width="9" style="324" customWidth="1"/>
    <col min="1281" max="1307" width="3.125" style="324" customWidth="1"/>
    <col min="1308" max="1308" width="1.75" style="324" customWidth="1"/>
    <col min="1309" max="1309" width="9" style="324" customWidth="1"/>
    <col min="1310" max="1310" width="10.25" style="324" bestFit="1" customWidth="1"/>
    <col min="1311" max="1311" width="14.125" style="324" bestFit="1" customWidth="1"/>
    <col min="1312" max="1536" width="9" style="324" customWidth="1"/>
    <col min="1537" max="1563" width="3.125" style="324" customWidth="1"/>
    <col min="1564" max="1564" width="1.75" style="324" customWidth="1"/>
    <col min="1565" max="1565" width="9" style="324" customWidth="1"/>
    <col min="1566" max="1566" width="10.25" style="324" bestFit="1" customWidth="1"/>
    <col min="1567" max="1567" width="14.125" style="324" bestFit="1" customWidth="1"/>
    <col min="1568" max="1792" width="9" style="324" customWidth="1"/>
    <col min="1793" max="1819" width="3.125" style="324" customWidth="1"/>
    <col min="1820" max="1820" width="1.75" style="324" customWidth="1"/>
    <col min="1821" max="1821" width="9" style="324" customWidth="1"/>
    <col min="1822" max="1822" width="10.25" style="324" bestFit="1" customWidth="1"/>
    <col min="1823" max="1823" width="14.125" style="324" bestFit="1" customWidth="1"/>
    <col min="1824" max="2048" width="9" style="324" customWidth="1"/>
    <col min="2049" max="2075" width="3.125" style="324" customWidth="1"/>
    <col min="2076" max="2076" width="1.75" style="324" customWidth="1"/>
    <col min="2077" max="2077" width="9" style="324" customWidth="1"/>
    <col min="2078" max="2078" width="10.25" style="324" bestFit="1" customWidth="1"/>
    <col min="2079" max="2079" width="14.125" style="324" bestFit="1" customWidth="1"/>
    <col min="2080" max="2304" width="9" style="324" customWidth="1"/>
    <col min="2305" max="2331" width="3.125" style="324" customWidth="1"/>
    <col min="2332" max="2332" width="1.75" style="324" customWidth="1"/>
    <col min="2333" max="2333" width="9" style="324" customWidth="1"/>
    <col min="2334" max="2334" width="10.25" style="324" bestFit="1" customWidth="1"/>
    <col min="2335" max="2335" width="14.125" style="324" bestFit="1" customWidth="1"/>
    <col min="2336" max="2560" width="9" style="324" customWidth="1"/>
    <col min="2561" max="2587" width="3.125" style="324" customWidth="1"/>
    <col min="2588" max="2588" width="1.75" style="324" customWidth="1"/>
    <col min="2589" max="2589" width="9" style="324" customWidth="1"/>
    <col min="2590" max="2590" width="10.25" style="324" bestFit="1" customWidth="1"/>
    <col min="2591" max="2591" width="14.125" style="324" bestFit="1" customWidth="1"/>
    <col min="2592" max="2816" width="9" style="324" customWidth="1"/>
    <col min="2817" max="2843" width="3.125" style="324" customWidth="1"/>
    <col min="2844" max="2844" width="1.75" style="324" customWidth="1"/>
    <col min="2845" max="2845" width="9" style="324" customWidth="1"/>
    <col min="2846" max="2846" width="10.25" style="324" bestFit="1" customWidth="1"/>
    <col min="2847" max="2847" width="14.125" style="324" bestFit="1" customWidth="1"/>
    <col min="2848" max="3072" width="9" style="324" customWidth="1"/>
    <col min="3073" max="3099" width="3.125" style="324" customWidth="1"/>
    <col min="3100" max="3100" width="1.75" style="324" customWidth="1"/>
    <col min="3101" max="3101" width="9" style="324" customWidth="1"/>
    <col min="3102" max="3102" width="10.25" style="324" bestFit="1" customWidth="1"/>
    <col min="3103" max="3103" width="14.125" style="324" bestFit="1" customWidth="1"/>
    <col min="3104" max="3328" width="9" style="324" customWidth="1"/>
    <col min="3329" max="3355" width="3.125" style="324" customWidth="1"/>
    <col min="3356" max="3356" width="1.75" style="324" customWidth="1"/>
    <col min="3357" max="3357" width="9" style="324" customWidth="1"/>
    <col min="3358" max="3358" width="10.25" style="324" bestFit="1" customWidth="1"/>
    <col min="3359" max="3359" width="14.125" style="324" bestFit="1" customWidth="1"/>
    <col min="3360" max="3584" width="9" style="324" customWidth="1"/>
    <col min="3585" max="3611" width="3.125" style="324" customWidth="1"/>
    <col min="3612" max="3612" width="1.75" style="324" customWidth="1"/>
    <col min="3613" max="3613" width="9" style="324" customWidth="1"/>
    <col min="3614" max="3614" width="10.25" style="324" bestFit="1" customWidth="1"/>
    <col min="3615" max="3615" width="14.125" style="324" bestFit="1" customWidth="1"/>
    <col min="3616" max="3840" width="9" style="324" customWidth="1"/>
    <col min="3841" max="3867" width="3.125" style="324" customWidth="1"/>
    <col min="3868" max="3868" width="1.75" style="324" customWidth="1"/>
    <col min="3869" max="3869" width="9" style="324" customWidth="1"/>
    <col min="3870" max="3870" width="10.25" style="324" bestFit="1" customWidth="1"/>
    <col min="3871" max="3871" width="14.125" style="324" bestFit="1" customWidth="1"/>
    <col min="3872" max="4096" width="9" style="324" customWidth="1"/>
    <col min="4097" max="4123" width="3.125" style="324" customWidth="1"/>
    <col min="4124" max="4124" width="1.75" style="324" customWidth="1"/>
    <col min="4125" max="4125" width="9" style="324" customWidth="1"/>
    <col min="4126" max="4126" width="10.25" style="324" bestFit="1" customWidth="1"/>
    <col min="4127" max="4127" width="14.125" style="324" bestFit="1" customWidth="1"/>
    <col min="4128" max="4352" width="9" style="324" customWidth="1"/>
    <col min="4353" max="4379" width="3.125" style="324" customWidth="1"/>
    <col min="4380" max="4380" width="1.75" style="324" customWidth="1"/>
    <col min="4381" max="4381" width="9" style="324" customWidth="1"/>
    <col min="4382" max="4382" width="10.25" style="324" bestFit="1" customWidth="1"/>
    <col min="4383" max="4383" width="14.125" style="324" bestFit="1" customWidth="1"/>
    <col min="4384" max="4608" width="9" style="324" customWidth="1"/>
    <col min="4609" max="4635" width="3.125" style="324" customWidth="1"/>
    <col min="4636" max="4636" width="1.75" style="324" customWidth="1"/>
    <col min="4637" max="4637" width="9" style="324" customWidth="1"/>
    <col min="4638" max="4638" width="10.25" style="324" bestFit="1" customWidth="1"/>
    <col min="4639" max="4639" width="14.125" style="324" bestFit="1" customWidth="1"/>
    <col min="4640" max="4864" width="9" style="324" customWidth="1"/>
    <col min="4865" max="4891" width="3.125" style="324" customWidth="1"/>
    <col min="4892" max="4892" width="1.75" style="324" customWidth="1"/>
    <col min="4893" max="4893" width="9" style="324" customWidth="1"/>
    <col min="4894" max="4894" width="10.25" style="324" bestFit="1" customWidth="1"/>
    <col min="4895" max="4895" width="14.125" style="324" bestFit="1" customWidth="1"/>
    <col min="4896" max="5120" width="9" style="324" customWidth="1"/>
    <col min="5121" max="5147" width="3.125" style="324" customWidth="1"/>
    <col min="5148" max="5148" width="1.75" style="324" customWidth="1"/>
    <col min="5149" max="5149" width="9" style="324" customWidth="1"/>
    <col min="5150" max="5150" width="10.25" style="324" bestFit="1" customWidth="1"/>
    <col min="5151" max="5151" width="14.125" style="324" bestFit="1" customWidth="1"/>
    <col min="5152" max="5376" width="9" style="324" customWidth="1"/>
    <col min="5377" max="5403" width="3.125" style="324" customWidth="1"/>
    <col min="5404" max="5404" width="1.75" style="324" customWidth="1"/>
    <col min="5405" max="5405" width="9" style="324" customWidth="1"/>
    <col min="5406" max="5406" width="10.25" style="324" bestFit="1" customWidth="1"/>
    <col min="5407" max="5407" width="14.125" style="324" bestFit="1" customWidth="1"/>
    <col min="5408" max="5632" width="9" style="324" customWidth="1"/>
    <col min="5633" max="5659" width="3.125" style="324" customWidth="1"/>
    <col min="5660" max="5660" width="1.75" style="324" customWidth="1"/>
    <col min="5661" max="5661" width="9" style="324" customWidth="1"/>
    <col min="5662" max="5662" width="10.25" style="324" bestFit="1" customWidth="1"/>
    <col min="5663" max="5663" width="14.125" style="324" bestFit="1" customWidth="1"/>
    <col min="5664" max="5888" width="9" style="324" customWidth="1"/>
    <col min="5889" max="5915" width="3.125" style="324" customWidth="1"/>
    <col min="5916" max="5916" width="1.75" style="324" customWidth="1"/>
    <col min="5917" max="5917" width="9" style="324" customWidth="1"/>
    <col min="5918" max="5918" width="10.25" style="324" bestFit="1" customWidth="1"/>
    <col min="5919" max="5919" width="14.125" style="324" bestFit="1" customWidth="1"/>
    <col min="5920" max="6144" width="9" style="324" customWidth="1"/>
    <col min="6145" max="6171" width="3.125" style="324" customWidth="1"/>
    <col min="6172" max="6172" width="1.75" style="324" customWidth="1"/>
    <col min="6173" max="6173" width="9" style="324" customWidth="1"/>
    <col min="6174" max="6174" width="10.25" style="324" bestFit="1" customWidth="1"/>
    <col min="6175" max="6175" width="14.125" style="324" bestFit="1" customWidth="1"/>
    <col min="6176" max="6400" width="9" style="324" customWidth="1"/>
    <col min="6401" max="6427" width="3.125" style="324" customWidth="1"/>
    <col min="6428" max="6428" width="1.75" style="324" customWidth="1"/>
    <col min="6429" max="6429" width="9" style="324" customWidth="1"/>
    <col min="6430" max="6430" width="10.25" style="324" bestFit="1" customWidth="1"/>
    <col min="6431" max="6431" width="14.125" style="324" bestFit="1" customWidth="1"/>
    <col min="6432" max="6656" width="9" style="324" customWidth="1"/>
    <col min="6657" max="6683" width="3.125" style="324" customWidth="1"/>
    <col min="6684" max="6684" width="1.75" style="324" customWidth="1"/>
    <col min="6685" max="6685" width="9" style="324" customWidth="1"/>
    <col min="6686" max="6686" width="10.25" style="324" bestFit="1" customWidth="1"/>
    <col min="6687" max="6687" width="14.125" style="324" bestFit="1" customWidth="1"/>
    <col min="6688" max="6912" width="9" style="324" customWidth="1"/>
    <col min="6913" max="6939" width="3.125" style="324" customWidth="1"/>
    <col min="6940" max="6940" width="1.75" style="324" customWidth="1"/>
    <col min="6941" max="6941" width="9" style="324" customWidth="1"/>
    <col min="6942" max="6942" width="10.25" style="324" bestFit="1" customWidth="1"/>
    <col min="6943" max="6943" width="14.125" style="324" bestFit="1" customWidth="1"/>
    <col min="6944" max="7168" width="9" style="324" customWidth="1"/>
    <col min="7169" max="7195" width="3.125" style="324" customWidth="1"/>
    <col min="7196" max="7196" width="1.75" style="324" customWidth="1"/>
    <col min="7197" max="7197" width="9" style="324" customWidth="1"/>
    <col min="7198" max="7198" width="10.25" style="324" bestFit="1" customWidth="1"/>
    <col min="7199" max="7199" width="14.125" style="324" bestFit="1" customWidth="1"/>
    <col min="7200" max="7424" width="9" style="324" customWidth="1"/>
    <col min="7425" max="7451" width="3.125" style="324" customWidth="1"/>
    <col min="7452" max="7452" width="1.75" style="324" customWidth="1"/>
    <col min="7453" max="7453" width="9" style="324" customWidth="1"/>
    <col min="7454" max="7454" width="10.25" style="324" bestFit="1" customWidth="1"/>
    <col min="7455" max="7455" width="14.125" style="324" bestFit="1" customWidth="1"/>
    <col min="7456" max="7680" width="9" style="324" customWidth="1"/>
    <col min="7681" max="7707" width="3.125" style="324" customWidth="1"/>
    <col min="7708" max="7708" width="1.75" style="324" customWidth="1"/>
    <col min="7709" max="7709" width="9" style="324" customWidth="1"/>
    <col min="7710" max="7710" width="10.25" style="324" bestFit="1" customWidth="1"/>
    <col min="7711" max="7711" width="14.125" style="324" bestFit="1" customWidth="1"/>
    <col min="7712" max="7936" width="9" style="324" customWidth="1"/>
    <col min="7937" max="7963" width="3.125" style="324" customWidth="1"/>
    <col min="7964" max="7964" width="1.75" style="324" customWidth="1"/>
    <col min="7965" max="7965" width="9" style="324" customWidth="1"/>
    <col min="7966" max="7966" width="10.25" style="324" bestFit="1" customWidth="1"/>
    <col min="7967" max="7967" width="14.125" style="324" bestFit="1" customWidth="1"/>
    <col min="7968" max="8192" width="9" style="324" customWidth="1"/>
    <col min="8193" max="8219" width="3.125" style="324" customWidth="1"/>
    <col min="8220" max="8220" width="1.75" style="324" customWidth="1"/>
    <col min="8221" max="8221" width="9" style="324" customWidth="1"/>
    <col min="8222" max="8222" width="10.25" style="324" bestFit="1" customWidth="1"/>
    <col min="8223" max="8223" width="14.125" style="324" bestFit="1" customWidth="1"/>
    <col min="8224" max="8448" width="9" style="324" customWidth="1"/>
    <col min="8449" max="8475" width="3.125" style="324" customWidth="1"/>
    <col min="8476" max="8476" width="1.75" style="324" customWidth="1"/>
    <col min="8477" max="8477" width="9" style="324" customWidth="1"/>
    <col min="8478" max="8478" width="10.25" style="324" bestFit="1" customWidth="1"/>
    <col min="8479" max="8479" width="14.125" style="324" bestFit="1" customWidth="1"/>
    <col min="8480" max="8704" width="9" style="324" customWidth="1"/>
    <col min="8705" max="8731" width="3.125" style="324" customWidth="1"/>
    <col min="8732" max="8732" width="1.75" style="324" customWidth="1"/>
    <col min="8733" max="8733" width="9" style="324" customWidth="1"/>
    <col min="8734" max="8734" width="10.25" style="324" bestFit="1" customWidth="1"/>
    <col min="8735" max="8735" width="14.125" style="324" bestFit="1" customWidth="1"/>
    <col min="8736" max="8960" width="9" style="324" customWidth="1"/>
    <col min="8961" max="8987" width="3.125" style="324" customWidth="1"/>
    <col min="8988" max="8988" width="1.75" style="324" customWidth="1"/>
    <col min="8989" max="8989" width="9" style="324" customWidth="1"/>
    <col min="8990" max="8990" width="10.25" style="324" bestFit="1" customWidth="1"/>
    <col min="8991" max="8991" width="14.125" style="324" bestFit="1" customWidth="1"/>
    <col min="8992" max="9216" width="9" style="324" customWidth="1"/>
    <col min="9217" max="9243" width="3.125" style="324" customWidth="1"/>
    <col min="9244" max="9244" width="1.75" style="324" customWidth="1"/>
    <col min="9245" max="9245" width="9" style="324" customWidth="1"/>
    <col min="9246" max="9246" width="10.25" style="324" bestFit="1" customWidth="1"/>
    <col min="9247" max="9247" width="14.125" style="324" bestFit="1" customWidth="1"/>
    <col min="9248" max="9472" width="9" style="324" customWidth="1"/>
    <col min="9473" max="9499" width="3.125" style="324" customWidth="1"/>
    <col min="9500" max="9500" width="1.75" style="324" customWidth="1"/>
    <col min="9501" max="9501" width="9" style="324" customWidth="1"/>
    <col min="9502" max="9502" width="10.25" style="324" bestFit="1" customWidth="1"/>
    <col min="9503" max="9503" width="14.125" style="324" bestFit="1" customWidth="1"/>
    <col min="9504" max="9728" width="9" style="324" customWidth="1"/>
    <col min="9729" max="9755" width="3.125" style="324" customWidth="1"/>
    <col min="9756" max="9756" width="1.75" style="324" customWidth="1"/>
    <col min="9757" max="9757" width="9" style="324" customWidth="1"/>
    <col min="9758" max="9758" width="10.25" style="324" bestFit="1" customWidth="1"/>
    <col min="9759" max="9759" width="14.125" style="324" bestFit="1" customWidth="1"/>
    <col min="9760" max="9984" width="9" style="324" customWidth="1"/>
    <col min="9985" max="10011" width="3.125" style="324" customWidth="1"/>
    <col min="10012" max="10012" width="1.75" style="324" customWidth="1"/>
    <col min="10013" max="10013" width="9" style="324" customWidth="1"/>
    <col min="10014" max="10014" width="10.25" style="324" bestFit="1" customWidth="1"/>
    <col min="10015" max="10015" width="14.125" style="324" bestFit="1" customWidth="1"/>
    <col min="10016" max="10240" width="9" style="324" customWidth="1"/>
    <col min="10241" max="10267" width="3.125" style="324" customWidth="1"/>
    <col min="10268" max="10268" width="1.75" style="324" customWidth="1"/>
    <col min="10269" max="10269" width="9" style="324" customWidth="1"/>
    <col min="10270" max="10270" width="10.25" style="324" bestFit="1" customWidth="1"/>
    <col min="10271" max="10271" width="14.125" style="324" bestFit="1" customWidth="1"/>
    <col min="10272" max="10496" width="9" style="324" customWidth="1"/>
    <col min="10497" max="10523" width="3.125" style="324" customWidth="1"/>
    <col min="10524" max="10524" width="1.75" style="324" customWidth="1"/>
    <col min="10525" max="10525" width="9" style="324" customWidth="1"/>
    <col min="10526" max="10526" width="10.25" style="324" bestFit="1" customWidth="1"/>
    <col min="10527" max="10527" width="14.125" style="324" bestFit="1" customWidth="1"/>
    <col min="10528" max="10752" width="9" style="324" customWidth="1"/>
    <col min="10753" max="10779" width="3.125" style="324" customWidth="1"/>
    <col min="10780" max="10780" width="1.75" style="324" customWidth="1"/>
    <col min="10781" max="10781" width="9" style="324" customWidth="1"/>
    <col min="10782" max="10782" width="10.25" style="324" bestFit="1" customWidth="1"/>
    <col min="10783" max="10783" width="14.125" style="324" bestFit="1" customWidth="1"/>
    <col min="10784" max="11008" width="9" style="324" customWidth="1"/>
    <col min="11009" max="11035" width="3.125" style="324" customWidth="1"/>
    <col min="11036" max="11036" width="1.75" style="324" customWidth="1"/>
    <col min="11037" max="11037" width="9" style="324" customWidth="1"/>
    <col min="11038" max="11038" width="10.25" style="324" bestFit="1" customWidth="1"/>
    <col min="11039" max="11039" width="14.125" style="324" bestFit="1" customWidth="1"/>
    <col min="11040" max="11264" width="9" style="324" customWidth="1"/>
    <col min="11265" max="11291" width="3.125" style="324" customWidth="1"/>
    <col min="11292" max="11292" width="1.75" style="324" customWidth="1"/>
    <col min="11293" max="11293" width="9" style="324" customWidth="1"/>
    <col min="11294" max="11294" width="10.25" style="324" bestFit="1" customWidth="1"/>
    <col min="11295" max="11295" width="14.125" style="324" bestFit="1" customWidth="1"/>
    <col min="11296" max="11520" width="9" style="324" customWidth="1"/>
    <col min="11521" max="11547" width="3.125" style="324" customWidth="1"/>
    <col min="11548" max="11548" width="1.75" style="324" customWidth="1"/>
    <col min="11549" max="11549" width="9" style="324" customWidth="1"/>
    <col min="11550" max="11550" width="10.25" style="324" bestFit="1" customWidth="1"/>
    <col min="11551" max="11551" width="14.125" style="324" bestFit="1" customWidth="1"/>
    <col min="11552" max="11776" width="9" style="324" customWidth="1"/>
    <col min="11777" max="11803" width="3.125" style="324" customWidth="1"/>
    <col min="11804" max="11804" width="1.75" style="324" customWidth="1"/>
    <col min="11805" max="11805" width="9" style="324" customWidth="1"/>
    <col min="11806" max="11806" width="10.25" style="324" bestFit="1" customWidth="1"/>
    <col min="11807" max="11807" width="14.125" style="324" bestFit="1" customWidth="1"/>
    <col min="11808" max="12032" width="9" style="324" customWidth="1"/>
    <col min="12033" max="12059" width="3.125" style="324" customWidth="1"/>
    <col min="12060" max="12060" width="1.75" style="324" customWidth="1"/>
    <col min="12061" max="12061" width="9" style="324" customWidth="1"/>
    <col min="12062" max="12062" width="10.25" style="324" bestFit="1" customWidth="1"/>
    <col min="12063" max="12063" width="14.125" style="324" bestFit="1" customWidth="1"/>
    <col min="12064" max="12288" width="9" style="324" customWidth="1"/>
    <col min="12289" max="12315" width="3.125" style="324" customWidth="1"/>
    <col min="12316" max="12316" width="1.75" style="324" customWidth="1"/>
    <col min="12317" max="12317" width="9" style="324" customWidth="1"/>
    <col min="12318" max="12318" width="10.25" style="324" bestFit="1" customWidth="1"/>
    <col min="12319" max="12319" width="14.125" style="324" bestFit="1" customWidth="1"/>
    <col min="12320" max="12544" width="9" style="324" customWidth="1"/>
    <col min="12545" max="12571" width="3.125" style="324" customWidth="1"/>
    <col min="12572" max="12572" width="1.75" style="324" customWidth="1"/>
    <col min="12573" max="12573" width="9" style="324" customWidth="1"/>
    <col min="12574" max="12574" width="10.25" style="324" bestFit="1" customWidth="1"/>
    <col min="12575" max="12575" width="14.125" style="324" bestFit="1" customWidth="1"/>
    <col min="12576" max="12800" width="9" style="324" customWidth="1"/>
    <col min="12801" max="12827" width="3.125" style="324" customWidth="1"/>
    <col min="12828" max="12828" width="1.75" style="324" customWidth="1"/>
    <col min="12829" max="12829" width="9" style="324" customWidth="1"/>
    <col min="12830" max="12830" width="10.25" style="324" bestFit="1" customWidth="1"/>
    <col min="12831" max="12831" width="14.125" style="324" bestFit="1" customWidth="1"/>
    <col min="12832" max="13056" width="9" style="324" customWidth="1"/>
    <col min="13057" max="13083" width="3.125" style="324" customWidth="1"/>
    <col min="13084" max="13084" width="1.75" style="324" customWidth="1"/>
    <col min="13085" max="13085" width="9" style="324" customWidth="1"/>
    <col min="13086" max="13086" width="10.25" style="324" bestFit="1" customWidth="1"/>
    <col min="13087" max="13087" width="14.125" style="324" bestFit="1" customWidth="1"/>
    <col min="13088" max="13312" width="9" style="324" customWidth="1"/>
    <col min="13313" max="13339" width="3.125" style="324" customWidth="1"/>
    <col min="13340" max="13340" width="1.75" style="324" customWidth="1"/>
    <col min="13341" max="13341" width="9" style="324" customWidth="1"/>
    <col min="13342" max="13342" width="10.25" style="324" bestFit="1" customWidth="1"/>
    <col min="13343" max="13343" width="14.125" style="324" bestFit="1" customWidth="1"/>
    <col min="13344" max="13568" width="9" style="324" customWidth="1"/>
    <col min="13569" max="13595" width="3.125" style="324" customWidth="1"/>
    <col min="13596" max="13596" width="1.75" style="324" customWidth="1"/>
    <col min="13597" max="13597" width="9" style="324" customWidth="1"/>
    <col min="13598" max="13598" width="10.25" style="324" bestFit="1" customWidth="1"/>
    <col min="13599" max="13599" width="14.125" style="324" bestFit="1" customWidth="1"/>
    <col min="13600" max="13824" width="9" style="324" customWidth="1"/>
    <col min="13825" max="13851" width="3.125" style="324" customWidth="1"/>
    <col min="13852" max="13852" width="1.75" style="324" customWidth="1"/>
    <col min="13853" max="13853" width="9" style="324" customWidth="1"/>
    <col min="13854" max="13854" width="10.25" style="324" bestFit="1" customWidth="1"/>
    <col min="13855" max="13855" width="14.125" style="324" bestFit="1" customWidth="1"/>
    <col min="13856" max="14080" width="9" style="324" customWidth="1"/>
    <col min="14081" max="14107" width="3.125" style="324" customWidth="1"/>
    <col min="14108" max="14108" width="1.75" style="324" customWidth="1"/>
    <col min="14109" max="14109" width="9" style="324" customWidth="1"/>
    <col min="14110" max="14110" width="10.25" style="324" bestFit="1" customWidth="1"/>
    <col min="14111" max="14111" width="14.125" style="324" bestFit="1" customWidth="1"/>
    <col min="14112" max="14336" width="9" style="324" customWidth="1"/>
    <col min="14337" max="14363" width="3.125" style="324" customWidth="1"/>
    <col min="14364" max="14364" width="1.75" style="324" customWidth="1"/>
    <col min="14365" max="14365" width="9" style="324" customWidth="1"/>
    <col min="14366" max="14366" width="10.25" style="324" bestFit="1" customWidth="1"/>
    <col min="14367" max="14367" width="14.125" style="324" bestFit="1" customWidth="1"/>
    <col min="14368" max="14592" width="9" style="324" customWidth="1"/>
    <col min="14593" max="14619" width="3.125" style="324" customWidth="1"/>
    <col min="14620" max="14620" width="1.75" style="324" customWidth="1"/>
    <col min="14621" max="14621" width="9" style="324" customWidth="1"/>
    <col min="14622" max="14622" width="10.25" style="324" bestFit="1" customWidth="1"/>
    <col min="14623" max="14623" width="14.125" style="324" bestFit="1" customWidth="1"/>
    <col min="14624" max="14848" width="9" style="324" customWidth="1"/>
    <col min="14849" max="14875" width="3.125" style="324" customWidth="1"/>
    <col min="14876" max="14876" width="1.75" style="324" customWidth="1"/>
    <col min="14877" max="14877" width="9" style="324" customWidth="1"/>
    <col min="14878" max="14878" width="10.25" style="324" bestFit="1" customWidth="1"/>
    <col min="14879" max="14879" width="14.125" style="324" bestFit="1" customWidth="1"/>
    <col min="14880" max="15104" width="9" style="324" customWidth="1"/>
    <col min="15105" max="15131" width="3.125" style="324" customWidth="1"/>
    <col min="15132" max="15132" width="1.75" style="324" customWidth="1"/>
    <col min="15133" max="15133" width="9" style="324" customWidth="1"/>
    <col min="15134" max="15134" width="10.25" style="324" bestFit="1" customWidth="1"/>
    <col min="15135" max="15135" width="14.125" style="324" bestFit="1" customWidth="1"/>
    <col min="15136" max="15360" width="9" style="324" customWidth="1"/>
    <col min="15361" max="15387" width="3.125" style="324" customWidth="1"/>
    <col min="15388" max="15388" width="1.75" style="324" customWidth="1"/>
    <col min="15389" max="15389" width="9" style="324" customWidth="1"/>
    <col min="15390" max="15390" width="10.25" style="324" bestFit="1" customWidth="1"/>
    <col min="15391" max="15391" width="14.125" style="324" bestFit="1" customWidth="1"/>
    <col min="15392" max="15616" width="9" style="324" customWidth="1"/>
    <col min="15617" max="15643" width="3.125" style="324" customWidth="1"/>
    <col min="15644" max="15644" width="1.75" style="324" customWidth="1"/>
    <col min="15645" max="15645" width="9" style="324" customWidth="1"/>
    <col min="15646" max="15646" width="10.25" style="324" bestFit="1" customWidth="1"/>
    <col min="15647" max="15647" width="14.125" style="324" bestFit="1" customWidth="1"/>
    <col min="15648" max="15872" width="9" style="324" customWidth="1"/>
    <col min="15873" max="15899" width="3.125" style="324" customWidth="1"/>
    <col min="15900" max="15900" width="1.75" style="324" customWidth="1"/>
    <col min="15901" max="15901" width="9" style="324" customWidth="1"/>
    <col min="15902" max="15902" width="10.25" style="324" bestFit="1" customWidth="1"/>
    <col min="15903" max="15903" width="14.125" style="324" bestFit="1" customWidth="1"/>
    <col min="15904" max="16128" width="9" style="324" customWidth="1"/>
    <col min="16129" max="16155" width="3.125" style="324" customWidth="1"/>
    <col min="16156" max="16156" width="1.75" style="324" customWidth="1"/>
    <col min="16157" max="16157" width="9" style="324" customWidth="1"/>
    <col min="16158" max="16158" width="10.25" style="324" bestFit="1" customWidth="1"/>
    <col min="16159" max="16159" width="14.125" style="324" bestFit="1" customWidth="1"/>
    <col min="16160" max="16384" width="9" style="324" customWidth="1"/>
  </cols>
  <sheetData>
    <row r="1" spans="1:27" ht="6" customHeight="1"/>
    <row r="2" spans="1:27">
      <c r="A2" s="324" t="s">
        <v>2818</v>
      </c>
    </row>
    <row r="4" spans="1:27">
      <c r="A4" s="734" t="s">
        <v>2819</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row>
    <row r="5" spans="1:27" ht="30.75" customHeight="1">
      <c r="A5" s="735" t="s">
        <v>2820</v>
      </c>
      <c r="B5" s="735"/>
      <c r="C5" s="735"/>
      <c r="D5" s="735"/>
      <c r="E5" s="735"/>
      <c r="F5" s="735"/>
      <c r="G5" s="735"/>
      <c r="H5" s="735"/>
      <c r="I5" s="735"/>
      <c r="J5" s="735"/>
      <c r="K5" s="735"/>
      <c r="L5" s="735"/>
      <c r="M5" s="735"/>
      <c r="N5" s="735"/>
      <c r="O5" s="735"/>
      <c r="P5" s="735"/>
      <c r="Q5" s="735"/>
      <c r="R5" s="735"/>
      <c r="S5" s="736"/>
      <c r="T5" s="736"/>
      <c r="U5" s="736"/>
      <c r="V5" s="736"/>
      <c r="W5" s="736"/>
      <c r="X5" s="736"/>
      <c r="Y5" s="736"/>
      <c r="Z5" s="736"/>
      <c r="AA5" s="736"/>
    </row>
    <row r="6" spans="1:27">
      <c r="A6" s="734" t="s">
        <v>2821</v>
      </c>
      <c r="B6" s="734"/>
      <c r="C6" s="734"/>
      <c r="D6" s="734"/>
      <c r="E6" s="734"/>
      <c r="F6" s="734"/>
      <c r="G6" s="734"/>
      <c r="H6" s="734"/>
      <c r="I6" s="734"/>
      <c r="J6" s="734"/>
      <c r="K6" s="734"/>
      <c r="L6" s="734"/>
      <c r="M6" s="734"/>
      <c r="N6" s="734"/>
      <c r="O6" s="734"/>
      <c r="P6" s="734"/>
      <c r="Q6" s="734"/>
      <c r="R6" s="734"/>
      <c r="S6" s="737"/>
      <c r="T6" s="737"/>
      <c r="U6" s="737"/>
      <c r="V6" s="737"/>
      <c r="W6" s="737"/>
      <c r="X6" s="737"/>
      <c r="Y6" s="737"/>
      <c r="Z6" s="737"/>
      <c r="AA6" s="737"/>
    </row>
    <row r="8" spans="1:27" ht="18.75" customHeight="1">
      <c r="S8" s="721">
        <f ca="1">IF(wskakunin_SHINSEI_DATE="",TEXT(TODAY(),"ggg"),wskakunin_SHINSEI_DATE)</f>
        <v>45391</v>
      </c>
      <c r="T8" s="721"/>
      <c r="U8" s="289">
        <f>cst_wskakunin_SHINSEI_DATE</f>
        <v>45391</v>
      </c>
      <c r="V8" s="324" t="s">
        <v>2822</v>
      </c>
      <c r="W8" s="290">
        <f>cst_wskakunin_SHINSEI_DATE</f>
        <v>45391</v>
      </c>
      <c r="X8" s="324" t="s">
        <v>2823</v>
      </c>
      <c r="Y8" s="294">
        <f>cst_wskakunin_SHINSEI_DATE</f>
        <v>45391</v>
      </c>
      <c r="Z8" s="324" t="s">
        <v>2824</v>
      </c>
    </row>
    <row r="9" spans="1:27" ht="15.75" customHeight="1"/>
    <row r="10" spans="1:27" ht="18" customHeight="1">
      <c r="A10" s="283"/>
      <c r="B10" s="738" t="str">
        <f>cst_wskakunin_BUILD_KEN__ken</f>
        <v>大阪府</v>
      </c>
      <c r="C10" s="739"/>
      <c r="D10" s="739"/>
      <c r="E10" s="739"/>
      <c r="F10" s="283" t="s">
        <v>2825</v>
      </c>
      <c r="G10" s="283"/>
      <c r="H10" s="283"/>
      <c r="I10" s="283"/>
      <c r="J10" s="283"/>
      <c r="K10" s="283"/>
      <c r="L10" s="283"/>
      <c r="M10" s="283"/>
      <c r="N10" s="283"/>
      <c r="O10" s="283"/>
      <c r="P10" s="283"/>
      <c r="Q10" s="283"/>
      <c r="R10" s="283"/>
      <c r="S10" s="283"/>
      <c r="T10" s="283"/>
      <c r="U10" s="283"/>
      <c r="V10" s="283"/>
      <c r="W10" s="283"/>
      <c r="X10" s="283"/>
      <c r="Y10" s="283"/>
      <c r="Z10" s="283"/>
      <c r="AA10" s="283"/>
    </row>
    <row r="11" spans="1:27" ht="18" customHeight="1">
      <c r="A11" s="324" t="s">
        <v>181</v>
      </c>
    </row>
    <row r="12" spans="1:27" ht="18" customHeight="1">
      <c r="B12" s="737" t="s">
        <v>194</v>
      </c>
      <c r="C12" s="737"/>
      <c r="D12" s="737"/>
      <c r="E12" s="740" t="str">
        <f>cst_wskakunin_owner1__space3</f>
        <v>猫山　花子</v>
      </c>
      <c r="F12" s="740"/>
      <c r="G12" s="740"/>
      <c r="H12" s="740"/>
      <c r="I12" s="740"/>
      <c r="J12" s="740"/>
      <c r="K12" s="740"/>
      <c r="L12" s="740"/>
      <c r="M12" s="740"/>
      <c r="N12" s="740"/>
      <c r="O12" s="740"/>
      <c r="P12" s="740"/>
      <c r="Q12" s="740"/>
      <c r="R12" s="740"/>
      <c r="S12" s="740"/>
      <c r="T12" s="740"/>
      <c r="U12" s="740"/>
      <c r="V12" s="740"/>
      <c r="W12" s="740"/>
      <c r="X12" s="740"/>
      <c r="Y12" s="740"/>
      <c r="Z12" s="737"/>
    </row>
    <row r="13" spans="1:27" ht="18" customHeight="1">
      <c r="B13" s="737"/>
      <c r="C13" s="737"/>
      <c r="D13" s="737"/>
      <c r="E13" s="740"/>
      <c r="F13" s="740"/>
      <c r="G13" s="740"/>
      <c r="H13" s="740"/>
      <c r="I13" s="740"/>
      <c r="J13" s="740"/>
      <c r="K13" s="740"/>
      <c r="L13" s="740"/>
      <c r="M13" s="740"/>
      <c r="N13" s="740"/>
      <c r="O13" s="740"/>
      <c r="P13" s="740"/>
      <c r="Q13" s="740"/>
      <c r="R13" s="740"/>
      <c r="S13" s="740"/>
      <c r="T13" s="740"/>
      <c r="U13" s="740"/>
      <c r="V13" s="740"/>
      <c r="W13" s="740"/>
      <c r="X13" s="740"/>
      <c r="Y13" s="740"/>
      <c r="Z13" s="737"/>
    </row>
    <row r="14" spans="1:27" ht="18" customHeight="1">
      <c r="B14" s="324" t="s">
        <v>205</v>
      </c>
      <c r="E14" s="725" t="str">
        <f>cst_wskakunin_owner1_ZIP</f>
        <v>567-0009</v>
      </c>
      <c r="F14" s="727"/>
      <c r="G14" s="727"/>
      <c r="H14" s="727"/>
      <c r="I14" s="727"/>
      <c r="J14" s="727"/>
    </row>
    <row r="15" spans="1:27" ht="18" customHeight="1">
      <c r="B15" s="324" t="s">
        <v>210</v>
      </c>
      <c r="E15" s="725" t="str">
        <f>cst_wskakunin_owner1__address</f>
        <v>大阪府茨木市山手台2-2-2</v>
      </c>
      <c r="F15" s="741"/>
      <c r="G15" s="741"/>
      <c r="H15" s="741"/>
      <c r="I15" s="741"/>
      <c r="J15" s="741"/>
      <c r="K15" s="741"/>
      <c r="L15" s="741"/>
      <c r="M15" s="741"/>
      <c r="N15" s="741"/>
      <c r="O15" s="741"/>
      <c r="P15" s="741"/>
      <c r="Q15" s="741"/>
      <c r="R15" s="741"/>
      <c r="S15" s="741"/>
      <c r="T15" s="741"/>
      <c r="U15" s="741"/>
      <c r="V15" s="741"/>
      <c r="W15" s="741"/>
      <c r="X15" s="726"/>
      <c r="Y15" s="726"/>
      <c r="Z15" s="726"/>
      <c r="AA15" s="727"/>
    </row>
    <row r="16" spans="1:27" ht="18" customHeight="1">
      <c r="A16" s="283"/>
      <c r="B16" s="283" t="s">
        <v>214</v>
      </c>
      <c r="C16" s="283"/>
      <c r="D16" s="283"/>
      <c r="E16" s="728" t="str">
        <f>cst_wskakunin_owner1_TEL</f>
        <v>なし</v>
      </c>
      <c r="F16" s="729"/>
      <c r="G16" s="729"/>
      <c r="H16" s="729"/>
      <c r="I16" s="729"/>
      <c r="J16" s="729"/>
      <c r="K16" s="729"/>
      <c r="L16" s="729"/>
      <c r="M16" s="283"/>
      <c r="N16" s="283"/>
      <c r="O16" s="283"/>
      <c r="P16" s="283"/>
      <c r="Q16" s="283"/>
      <c r="R16" s="283"/>
      <c r="S16" s="283"/>
      <c r="T16" s="283"/>
      <c r="U16" s="283"/>
      <c r="V16" s="283"/>
      <c r="W16" s="283"/>
      <c r="X16" s="283"/>
      <c r="Y16" s="283"/>
      <c r="Z16" s="283"/>
      <c r="AA16" s="283"/>
    </row>
    <row r="17" spans="1:27" ht="18" customHeight="1">
      <c r="A17" s="324" t="s">
        <v>2826</v>
      </c>
    </row>
    <row r="18" spans="1:27" ht="18" customHeight="1">
      <c r="B18" s="324" t="s">
        <v>194</v>
      </c>
      <c r="E18" s="725" t="str">
        <f>cst_wskakunin_sekou1_NAME</f>
        <v>代表取締役　波夛野　賢</v>
      </c>
      <c r="F18" s="727"/>
      <c r="G18" s="727"/>
      <c r="H18" s="727"/>
      <c r="I18" s="727"/>
      <c r="J18" s="727"/>
      <c r="K18" s="727"/>
      <c r="L18" s="727"/>
      <c r="M18" s="727"/>
      <c r="N18" s="727"/>
      <c r="O18" s="727"/>
      <c r="P18" s="727"/>
      <c r="Q18" s="727"/>
      <c r="R18" s="727"/>
      <c r="S18" s="727"/>
      <c r="T18" s="727"/>
      <c r="U18" s="727"/>
      <c r="V18" s="727"/>
      <c r="W18" s="727"/>
      <c r="X18" s="727"/>
      <c r="Y18" s="727"/>
      <c r="Z18" s="727"/>
      <c r="AA18" s="727"/>
    </row>
    <row r="19" spans="1:27" ht="18" customHeight="1">
      <c r="B19" s="324" t="s">
        <v>2827</v>
      </c>
    </row>
    <row r="20" spans="1:27" ht="18" customHeight="1">
      <c r="E20" s="725" t="str">
        <f>cst_wskakunin_sekou1_JIMU_NAME</f>
        <v>四辻木材興行株式会社</v>
      </c>
      <c r="F20" s="727"/>
      <c r="G20" s="727"/>
      <c r="H20" s="727"/>
      <c r="I20" s="727"/>
      <c r="J20" s="727"/>
      <c r="K20" s="727"/>
      <c r="L20" s="727"/>
      <c r="M20" s="727"/>
      <c r="N20" s="727"/>
      <c r="O20" s="727"/>
      <c r="P20" s="727"/>
      <c r="Q20" s="727"/>
      <c r="R20" s="727"/>
      <c r="S20" s="727"/>
      <c r="T20" s="727"/>
      <c r="U20" s="727"/>
      <c r="V20" s="727"/>
      <c r="W20" s="727"/>
      <c r="X20" s="727"/>
      <c r="Y20" s="727"/>
      <c r="Z20" s="727"/>
      <c r="AA20" s="727"/>
    </row>
    <row r="21" spans="1:27" ht="18" customHeight="1">
      <c r="B21" s="324" t="s">
        <v>205</v>
      </c>
      <c r="E21" s="725" t="str">
        <f>cst_wskakunin_sekou1_ZIP</f>
        <v>617-0006</v>
      </c>
      <c r="F21" s="727"/>
      <c r="G21" s="727"/>
      <c r="H21" s="727"/>
      <c r="I21" s="727"/>
      <c r="J21" s="727"/>
    </row>
    <row r="22" spans="1:27" ht="18" customHeight="1">
      <c r="B22" s="324" t="s">
        <v>438</v>
      </c>
      <c r="E22" s="725" t="str">
        <f>cst_wskakunin_sekou1__address</f>
        <v>京都府向日市上植野町落掘17-1</v>
      </c>
      <c r="F22" s="726"/>
      <c r="G22" s="726"/>
      <c r="H22" s="726"/>
      <c r="I22" s="726"/>
      <c r="J22" s="726"/>
      <c r="K22" s="726"/>
      <c r="L22" s="726"/>
      <c r="M22" s="726"/>
      <c r="N22" s="726"/>
      <c r="O22" s="726"/>
      <c r="P22" s="726"/>
      <c r="Q22" s="726"/>
      <c r="R22" s="726"/>
      <c r="S22" s="726"/>
      <c r="T22" s="726"/>
      <c r="U22" s="726"/>
      <c r="V22" s="726"/>
      <c r="W22" s="726"/>
      <c r="X22" s="726"/>
      <c r="Y22" s="726"/>
      <c r="Z22" s="726"/>
      <c r="AA22" s="727"/>
    </row>
    <row r="23" spans="1:27" ht="18" customHeight="1">
      <c r="A23" s="283"/>
      <c r="B23" s="283" t="s">
        <v>214</v>
      </c>
      <c r="C23" s="283"/>
      <c r="D23" s="283"/>
      <c r="E23" s="728" t="str">
        <f>cst_wskakunin_sekou1_TEL</f>
        <v>075-931-1191</v>
      </c>
      <c r="F23" s="729"/>
      <c r="G23" s="729"/>
      <c r="H23" s="729"/>
      <c r="I23" s="729"/>
      <c r="J23" s="729"/>
      <c r="K23" s="729"/>
      <c r="L23" s="729"/>
      <c r="M23" s="283"/>
      <c r="N23" s="283"/>
      <c r="O23" s="283"/>
      <c r="P23" s="283"/>
      <c r="Q23" s="283"/>
      <c r="R23" s="283"/>
      <c r="S23" s="283"/>
      <c r="T23" s="283"/>
      <c r="U23" s="283"/>
      <c r="V23" s="283"/>
      <c r="W23" s="283"/>
      <c r="X23" s="283"/>
      <c r="Y23" s="283"/>
      <c r="Z23" s="283"/>
      <c r="AA23" s="283"/>
    </row>
    <row r="24" spans="1:27" ht="18" customHeight="1">
      <c r="A24" s="324" t="s">
        <v>2828</v>
      </c>
    </row>
    <row r="25" spans="1:27" ht="18" customHeight="1">
      <c r="B25" s="324" t="s">
        <v>194</v>
      </c>
      <c r="E25" s="725" t="str">
        <f>cst_wskakunin_kanri1_NAME</f>
        <v>現場　猫</v>
      </c>
      <c r="F25" s="727"/>
      <c r="G25" s="727"/>
      <c r="H25" s="727"/>
      <c r="I25" s="727"/>
      <c r="J25" s="727"/>
      <c r="K25" s="727"/>
      <c r="L25" s="727"/>
      <c r="M25" s="727"/>
      <c r="N25" s="727"/>
      <c r="O25" s="727"/>
      <c r="P25" s="727"/>
      <c r="Q25" s="727"/>
      <c r="R25" s="727"/>
      <c r="S25" s="727"/>
      <c r="T25" s="727"/>
      <c r="U25" s="727"/>
      <c r="V25" s="727"/>
      <c r="W25" s="727"/>
      <c r="X25" s="727"/>
      <c r="Y25" s="727"/>
      <c r="Z25" s="727"/>
      <c r="AA25" s="727"/>
    </row>
    <row r="26" spans="1:27" ht="18" customHeight="1">
      <c r="B26" s="324" t="s">
        <v>2827</v>
      </c>
    </row>
    <row r="27" spans="1:27" ht="18" customHeight="1">
      <c r="E27" s="725" t="str">
        <f>cst_wskakunin_kanri1_JIMU_NAME</f>
        <v>猫建築事務所</v>
      </c>
      <c r="F27" s="727"/>
      <c r="G27" s="727"/>
      <c r="H27" s="727"/>
      <c r="I27" s="727"/>
      <c r="J27" s="727"/>
      <c r="K27" s="727"/>
      <c r="L27" s="727"/>
      <c r="M27" s="727"/>
      <c r="N27" s="727"/>
      <c r="O27" s="727"/>
      <c r="P27" s="727"/>
      <c r="Q27" s="727"/>
      <c r="R27" s="727"/>
      <c r="S27" s="727"/>
      <c r="T27" s="727"/>
      <c r="U27" s="727"/>
      <c r="V27" s="727"/>
      <c r="W27" s="727"/>
      <c r="X27" s="727"/>
      <c r="Y27" s="727"/>
      <c r="Z27" s="727"/>
      <c r="AA27" s="727"/>
    </row>
    <row r="28" spans="1:27" ht="18" customHeight="1">
      <c r="B28" s="324" t="s">
        <v>205</v>
      </c>
      <c r="E28" s="725" t="str">
        <f>cst_wskakunin_kanri1_ZIP</f>
        <v>604-0001</v>
      </c>
      <c r="F28" s="727"/>
      <c r="G28" s="727"/>
      <c r="H28" s="727"/>
      <c r="I28" s="727"/>
      <c r="J28" s="727"/>
    </row>
    <row r="29" spans="1:27" ht="18" customHeight="1">
      <c r="B29" s="324" t="s">
        <v>438</v>
      </c>
      <c r="E29" s="725" t="str">
        <f>cst_wskakunin_kanri1__address</f>
        <v>京都府京都市中京区道場町1</v>
      </c>
      <c r="F29" s="726"/>
      <c r="G29" s="726"/>
      <c r="H29" s="726"/>
      <c r="I29" s="726"/>
      <c r="J29" s="726"/>
      <c r="K29" s="726"/>
      <c r="L29" s="726"/>
      <c r="M29" s="726"/>
      <c r="N29" s="726"/>
      <c r="O29" s="726"/>
      <c r="P29" s="726"/>
      <c r="Q29" s="726"/>
      <c r="R29" s="726"/>
      <c r="S29" s="726"/>
      <c r="T29" s="726"/>
      <c r="U29" s="726"/>
      <c r="V29" s="726"/>
      <c r="W29" s="726"/>
      <c r="X29" s="726"/>
      <c r="Y29" s="726"/>
      <c r="Z29" s="726"/>
      <c r="AA29" s="727"/>
    </row>
    <row r="30" spans="1:27" ht="18" customHeight="1">
      <c r="A30" s="283"/>
      <c r="B30" s="283" t="s">
        <v>214</v>
      </c>
      <c r="C30" s="283"/>
      <c r="D30" s="283"/>
      <c r="E30" s="728" t="str">
        <f>cst_wskakunin_kanri1_TEL</f>
        <v>075-000-0000</v>
      </c>
      <c r="F30" s="729"/>
      <c r="G30" s="729"/>
      <c r="H30" s="729"/>
      <c r="I30" s="729"/>
      <c r="J30" s="729"/>
      <c r="K30" s="729"/>
      <c r="L30" s="729"/>
      <c r="M30" s="283"/>
      <c r="N30" s="283"/>
      <c r="O30" s="283"/>
      <c r="P30" s="283"/>
      <c r="Q30" s="283"/>
      <c r="R30" s="283"/>
      <c r="S30" s="283"/>
      <c r="T30" s="283"/>
      <c r="U30" s="283"/>
      <c r="V30" s="283"/>
      <c r="W30" s="283"/>
      <c r="X30" s="283"/>
      <c r="Y30" s="283"/>
      <c r="Z30" s="283"/>
      <c r="AA30" s="283"/>
    </row>
    <row r="31" spans="1:27" ht="18" customHeight="1">
      <c r="A31" s="324" t="s">
        <v>2829</v>
      </c>
      <c r="E31" s="324" t="s">
        <v>2830</v>
      </c>
    </row>
    <row r="32" spans="1:27" ht="18" customHeight="1">
      <c r="B32" s="324" t="s">
        <v>106</v>
      </c>
      <c r="I32" s="308" t="s">
        <v>2831</v>
      </c>
      <c r="J32" s="730" t="str">
        <f>cst_shinsei_ISSUE_NO</f>
        <v/>
      </c>
      <c r="K32" s="731"/>
      <c r="L32" s="731"/>
      <c r="M32" s="731"/>
      <c r="N32" s="731"/>
      <c r="O32" s="731"/>
      <c r="P32" s="731"/>
      <c r="Q32" s="324" t="s">
        <v>2762</v>
      </c>
    </row>
    <row r="33" spans="1:27" ht="18" customHeight="1">
      <c r="B33" s="324" t="s">
        <v>2832</v>
      </c>
      <c r="H33" s="721" t="str">
        <f ca="1">IF(shinsei_ISSUE_DATE="",TEXT(TODAY(),"ggg"),shinsei_ISSUE_DATE)</f>
        <v>令和</v>
      </c>
      <c r="I33" s="721"/>
      <c r="J33" s="291" t="str">
        <f>cst_shinsei_ISSUE_DATE</f>
        <v/>
      </c>
      <c r="K33" s="324" t="s">
        <v>2822</v>
      </c>
      <c r="L33" s="292" t="str">
        <f>cst_shinsei_ISSUE_DATE</f>
        <v/>
      </c>
      <c r="M33" s="324" t="s">
        <v>2823</v>
      </c>
      <c r="N33" s="293" t="str">
        <f>cst_shinsei_ISSUE_DATE</f>
        <v/>
      </c>
      <c r="O33" s="324" t="s">
        <v>2824</v>
      </c>
    </row>
    <row r="34" spans="1:27" ht="18" customHeight="1">
      <c r="A34" s="283"/>
      <c r="B34" s="283" t="s">
        <v>137</v>
      </c>
      <c r="C34" s="283"/>
      <c r="D34" s="283"/>
      <c r="E34" s="283"/>
      <c r="F34" s="283"/>
      <c r="G34" s="283"/>
      <c r="H34" s="283"/>
      <c r="I34" s="732" t="str">
        <f>cst_shinsei_ISSUE_KOUFU_NAME</f>
        <v/>
      </c>
      <c r="J34" s="733"/>
      <c r="K34" s="733"/>
      <c r="L34" s="733"/>
      <c r="M34" s="733"/>
      <c r="N34" s="733"/>
      <c r="O34" s="733"/>
      <c r="P34" s="733"/>
      <c r="Q34" s="733"/>
      <c r="R34" s="733"/>
      <c r="S34" s="733"/>
      <c r="T34" s="733"/>
      <c r="U34" s="733"/>
      <c r="V34" s="733"/>
      <c r="W34" s="733"/>
      <c r="X34" s="733"/>
      <c r="Y34" s="733"/>
      <c r="Z34" s="733"/>
      <c r="AA34" s="283"/>
    </row>
    <row r="35" spans="1:27" ht="18" customHeight="1">
      <c r="A35" s="324" t="s">
        <v>2833</v>
      </c>
    </row>
    <row r="36" spans="1:27" ht="18" customHeight="1">
      <c r="B36" s="324" t="s">
        <v>194</v>
      </c>
      <c r="E36" s="689"/>
      <c r="F36" s="690"/>
      <c r="G36" s="690"/>
      <c r="H36" s="690"/>
      <c r="I36" s="690"/>
      <c r="J36" s="690"/>
      <c r="K36" s="690"/>
      <c r="L36" s="690"/>
      <c r="M36" s="690"/>
      <c r="N36" s="690"/>
      <c r="O36" s="690"/>
      <c r="P36" s="690"/>
      <c r="Q36" s="690"/>
      <c r="R36" s="690"/>
      <c r="S36" s="690"/>
      <c r="T36" s="690"/>
      <c r="U36" s="690"/>
      <c r="V36" s="690"/>
      <c r="W36" s="690"/>
      <c r="X36" s="690"/>
    </row>
    <row r="37" spans="1:27" ht="18" customHeight="1">
      <c r="B37" s="324" t="s">
        <v>1482</v>
      </c>
      <c r="E37" s="689"/>
      <c r="F37" s="690"/>
      <c r="G37" s="690"/>
      <c r="H37" s="690"/>
      <c r="I37" s="690"/>
      <c r="J37" s="690"/>
      <c r="K37" s="690"/>
      <c r="L37" s="690"/>
      <c r="M37" s="690"/>
      <c r="N37" s="690"/>
      <c r="O37" s="690"/>
      <c r="P37" s="690"/>
      <c r="Q37" s="690"/>
      <c r="R37" s="690"/>
      <c r="S37" s="690"/>
      <c r="T37" s="690"/>
      <c r="U37" s="690"/>
      <c r="V37" s="690"/>
      <c r="W37" s="690"/>
      <c r="X37" s="690"/>
    </row>
    <row r="38" spans="1:27" ht="18" customHeight="1">
      <c r="B38" s="324" t="s">
        <v>205</v>
      </c>
      <c r="E38" s="689"/>
      <c r="F38" s="690"/>
      <c r="G38" s="690"/>
      <c r="H38" s="690"/>
      <c r="I38" s="690"/>
      <c r="J38" s="690"/>
    </row>
    <row r="39" spans="1:27" ht="18" customHeight="1">
      <c r="B39" s="324" t="s">
        <v>438</v>
      </c>
      <c r="E39" s="689"/>
      <c r="F39" s="690"/>
      <c r="G39" s="690"/>
      <c r="H39" s="690"/>
      <c r="I39" s="690"/>
      <c r="J39" s="690"/>
      <c r="K39" s="690"/>
      <c r="L39" s="690"/>
      <c r="M39" s="690"/>
      <c r="N39" s="690"/>
      <c r="O39" s="690"/>
      <c r="P39" s="690"/>
      <c r="Q39" s="690"/>
      <c r="R39" s="690"/>
      <c r="S39" s="690"/>
      <c r="T39" s="690"/>
      <c r="U39" s="690"/>
      <c r="V39" s="690"/>
      <c r="W39" s="690"/>
      <c r="X39" s="690"/>
      <c r="Y39" s="690"/>
    </row>
    <row r="40" spans="1:27" ht="18" customHeight="1">
      <c r="A40" s="283"/>
      <c r="B40" s="283" t="s">
        <v>214</v>
      </c>
      <c r="C40" s="283"/>
      <c r="D40" s="283"/>
      <c r="E40" s="693"/>
      <c r="F40" s="694"/>
      <c r="G40" s="694"/>
      <c r="H40" s="694"/>
      <c r="I40" s="694"/>
      <c r="J40" s="694"/>
      <c r="K40" s="694"/>
      <c r="L40" s="694"/>
      <c r="M40" s="283"/>
      <c r="N40" s="283"/>
      <c r="O40" s="283"/>
      <c r="P40" s="283"/>
      <c r="Q40" s="283"/>
      <c r="R40" s="283"/>
      <c r="S40" s="283"/>
      <c r="T40" s="283"/>
      <c r="U40" s="283"/>
      <c r="V40" s="283"/>
      <c r="W40" s="283"/>
      <c r="X40" s="283"/>
      <c r="Y40" s="283"/>
      <c r="Z40" s="283"/>
      <c r="AA40" s="283"/>
    </row>
    <row r="41" spans="1:27" ht="18" customHeight="1">
      <c r="A41" s="324" t="s">
        <v>2834</v>
      </c>
    </row>
    <row r="42" spans="1:27" ht="15.75" customHeight="1"/>
    <row r="43" spans="1:27" ht="15.75" customHeight="1"/>
    <row r="44" spans="1:27">
      <c r="A44" s="695" t="s">
        <v>2835</v>
      </c>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row>
    <row r="45" spans="1:27" ht="16.5" customHeight="1">
      <c r="A45" s="324" t="s">
        <v>2836</v>
      </c>
    </row>
    <row r="46" spans="1:27" ht="16.5" customHeight="1">
      <c r="B46" s="324" t="s">
        <v>2837</v>
      </c>
      <c r="K46" s="721" t="str">
        <f ca="1">IF(wskakunin_KOUJI_TYAKUSYU_YOTEI_DATE="",TEXT(TODAY(),"ggg"),wskakunin_KOUJI_TYAKUSYU_YOTEI_DATE)</f>
        <v>令和</v>
      </c>
      <c r="L46" s="721"/>
      <c r="M46" s="326" t="str">
        <f>cst_wskakunin_KOUJI_TYAKUSYU_YOTEI_DATE</f>
        <v/>
      </c>
      <c r="N46" s="324" t="s">
        <v>2822</v>
      </c>
      <c r="O46" s="327" t="str">
        <f>cst_wskakunin_KOUJI_TYAKUSYU_YOTEI_DATE</f>
        <v/>
      </c>
      <c r="P46" s="324" t="s">
        <v>2823</v>
      </c>
      <c r="Q46" s="328" t="str">
        <f>cst_wskakunin_KOUJI_TYAKUSYU_YOTEI_DATE</f>
        <v/>
      </c>
      <c r="R46" s="324" t="s">
        <v>2824</v>
      </c>
    </row>
    <row r="47" spans="1:27" ht="16.5" customHeight="1">
      <c r="A47" s="283"/>
      <c r="B47" s="283" t="s">
        <v>2838</v>
      </c>
      <c r="C47" s="283"/>
      <c r="D47" s="283"/>
      <c r="E47" s="283"/>
      <c r="F47" s="283"/>
      <c r="G47" s="283"/>
      <c r="H47" s="283"/>
      <c r="I47" s="283"/>
      <c r="J47" s="283"/>
      <c r="K47" s="722">
        <f ca="1">IF(wskakunin_KOUJI_KANRYOU_YOTEI_DATE="",TEXT(TODAY(),"ggg"),wskakunin_KOUJI_KANRYOU_YOTEI_DATE)</f>
        <v>45416</v>
      </c>
      <c r="L47" s="722"/>
      <c r="M47" s="329">
        <f>cst_wskakunin_KOUJI_KANRYOU_YOTEI_DATE</f>
        <v>45416</v>
      </c>
      <c r="N47" s="283" t="s">
        <v>2822</v>
      </c>
      <c r="O47" s="330">
        <f>cst_wskakunin_KOUJI_KANRYOU_YOTEI_DATE</f>
        <v>45416</v>
      </c>
      <c r="P47" s="283" t="s">
        <v>2823</v>
      </c>
      <c r="Q47" s="331">
        <f>cst_wskakunin_KOUJI_KANRYOU_YOTEI_DATE</f>
        <v>45416</v>
      </c>
      <c r="R47" s="283" t="s">
        <v>2824</v>
      </c>
      <c r="S47" s="283"/>
      <c r="T47" s="283"/>
      <c r="U47" s="283"/>
      <c r="V47" s="283"/>
      <c r="W47" s="283"/>
      <c r="X47" s="283"/>
      <c r="Y47" s="283"/>
      <c r="Z47" s="283"/>
      <c r="AA47" s="283"/>
    </row>
    <row r="48" spans="1:27" ht="16.5" customHeight="1">
      <c r="A48" s="324" t="s">
        <v>2839</v>
      </c>
    </row>
    <row r="49" spans="1:28" ht="16.5" customHeight="1">
      <c r="B49" s="324" t="s">
        <v>2840</v>
      </c>
      <c r="I49" s="322" t="s">
        <v>2745</v>
      </c>
      <c r="J49" s="324" t="s">
        <v>2841</v>
      </c>
      <c r="M49" s="322" t="s">
        <v>2745</v>
      </c>
      <c r="N49" s="324" t="s">
        <v>2842</v>
      </c>
      <c r="T49" s="322" t="s">
        <v>2745</v>
      </c>
      <c r="U49" s="324" t="s">
        <v>2843</v>
      </c>
    </row>
    <row r="50" spans="1:28" ht="16.5" customHeight="1">
      <c r="I50" s="322" t="s">
        <v>2745</v>
      </c>
      <c r="J50" s="324" t="s">
        <v>2844</v>
      </c>
      <c r="M50" s="322" t="s">
        <v>2745</v>
      </c>
      <c r="N50" s="324" t="s">
        <v>2845</v>
      </c>
      <c r="T50" s="322" t="s">
        <v>2745</v>
      </c>
      <c r="U50" s="324" t="s">
        <v>2846</v>
      </c>
    </row>
    <row r="51" spans="1:28" ht="15" customHeight="1">
      <c r="B51" s="324" t="s">
        <v>2847</v>
      </c>
      <c r="K51" s="322" t="s">
        <v>2745</v>
      </c>
      <c r="L51" s="324" t="s">
        <v>2848</v>
      </c>
      <c r="R51" s="322" t="s">
        <v>2745</v>
      </c>
      <c r="S51" s="324" t="s">
        <v>2849</v>
      </c>
    </row>
    <row r="52" spans="1:28" ht="15" customHeight="1">
      <c r="K52" s="322" t="s">
        <v>2745</v>
      </c>
      <c r="L52" s="324" t="s">
        <v>2850</v>
      </c>
    </row>
    <row r="53" spans="1:28" ht="15" customHeight="1">
      <c r="A53" s="283"/>
      <c r="B53" s="283"/>
      <c r="C53" s="283"/>
      <c r="D53" s="283"/>
      <c r="E53" s="283"/>
      <c r="F53" s="283"/>
      <c r="G53" s="283"/>
      <c r="H53" s="283"/>
      <c r="I53" s="283"/>
      <c r="J53" s="283"/>
      <c r="K53" s="323" t="s">
        <v>2745</v>
      </c>
      <c r="L53" s="283" t="s">
        <v>2851</v>
      </c>
      <c r="M53" s="283"/>
      <c r="N53" s="283"/>
      <c r="O53" s="283"/>
      <c r="P53" s="283"/>
      <c r="Q53" s="283"/>
      <c r="R53" s="283"/>
      <c r="S53" s="283"/>
      <c r="T53" s="323" t="s">
        <v>2745</v>
      </c>
      <c r="U53" s="283" t="s">
        <v>2852</v>
      </c>
      <c r="V53" s="283"/>
      <c r="W53" s="283"/>
      <c r="X53" s="283"/>
      <c r="Y53" s="283"/>
      <c r="Z53" s="283"/>
      <c r="AA53" s="283"/>
    </row>
    <row r="54" spans="1:28" ht="16.5" customHeight="1">
      <c r="A54" s="324" t="s">
        <v>2853</v>
      </c>
    </row>
    <row r="55" spans="1:28" ht="16.5" customHeight="1">
      <c r="B55" s="324" t="s">
        <v>2854</v>
      </c>
      <c r="G55" s="723" t="str">
        <f>cst_wskakunin_BUILD__address</f>
        <v>大阪府茨木市山手台2-2-2</v>
      </c>
      <c r="H55" s="723"/>
      <c r="I55" s="723"/>
      <c r="J55" s="723"/>
      <c r="K55" s="723"/>
      <c r="L55" s="723"/>
      <c r="M55" s="723"/>
      <c r="N55" s="723"/>
      <c r="O55" s="723"/>
      <c r="P55" s="723"/>
      <c r="Q55" s="723"/>
      <c r="R55" s="723"/>
      <c r="S55" s="723"/>
      <c r="T55" s="723"/>
      <c r="U55" s="723"/>
      <c r="V55" s="723"/>
      <c r="W55" s="723"/>
      <c r="X55" s="723"/>
      <c r="Y55" s="723"/>
      <c r="Z55" s="723"/>
      <c r="AA55" s="723"/>
      <c r="AB55" s="723"/>
    </row>
    <row r="56" spans="1:28" ht="16.5" customHeight="1">
      <c r="G56" s="724"/>
      <c r="H56" s="724"/>
      <c r="I56" s="724"/>
      <c r="J56" s="724"/>
      <c r="K56" s="724"/>
      <c r="L56" s="724"/>
      <c r="M56" s="724"/>
      <c r="N56" s="724"/>
      <c r="O56" s="724"/>
      <c r="P56" s="724"/>
      <c r="Q56" s="724"/>
      <c r="R56" s="724"/>
      <c r="S56" s="724"/>
      <c r="T56" s="724"/>
      <c r="U56" s="724"/>
      <c r="V56" s="724"/>
      <c r="W56" s="724"/>
      <c r="X56" s="724"/>
      <c r="Y56" s="724"/>
      <c r="Z56" s="724"/>
      <c r="AA56" s="724"/>
      <c r="AB56" s="724"/>
    </row>
    <row r="57" spans="1:28" ht="16.5" customHeight="1">
      <c r="G57" s="724"/>
      <c r="H57" s="724"/>
      <c r="I57" s="724"/>
      <c r="J57" s="724"/>
      <c r="K57" s="724"/>
      <c r="L57" s="724"/>
      <c r="M57" s="724"/>
      <c r="N57" s="724"/>
      <c r="O57" s="724"/>
      <c r="P57" s="724"/>
      <c r="Q57" s="724"/>
      <c r="R57" s="724"/>
      <c r="S57" s="724"/>
      <c r="T57" s="724"/>
      <c r="U57" s="724"/>
      <c r="V57" s="724"/>
      <c r="W57" s="724"/>
      <c r="X57" s="724"/>
      <c r="Y57" s="724"/>
      <c r="Z57" s="724"/>
      <c r="AA57" s="724"/>
      <c r="AB57" s="724"/>
    </row>
    <row r="58" spans="1:28" ht="16.5" customHeight="1">
      <c r="B58" s="324" t="s">
        <v>2855</v>
      </c>
      <c r="G58" s="284" t="str">
        <f>IF(cst_wskakunin_KUIKI_SIGAIKA="■","☑","□")</f>
        <v>□</v>
      </c>
      <c r="H58" s="324" t="s">
        <v>2856</v>
      </c>
      <c r="N58" s="284" t="str">
        <f>IF(cst_wskakunin_KUIKI_TYOSEI="■","☑","□")</f>
        <v>□</v>
      </c>
      <c r="O58" s="324" t="s">
        <v>2857</v>
      </c>
    </row>
    <row r="59" spans="1:28" ht="16.5" customHeight="1">
      <c r="G59" s="284" t="str">
        <f>IF(cst_wskakunin_KUIKI_HISETTEI="■","☑","□")</f>
        <v>□</v>
      </c>
      <c r="H59" s="324" t="s">
        <v>2858</v>
      </c>
      <c r="R59" s="284" t="str">
        <f>IF(cst_wskakunin_KUIKI_JYUN_TOSHI="■","☑","□")</f>
        <v>□</v>
      </c>
      <c r="S59" s="324" t="s">
        <v>2859</v>
      </c>
    </row>
    <row r="60" spans="1:28" ht="16.5" customHeight="1">
      <c r="A60" s="283"/>
      <c r="B60" s="283"/>
      <c r="C60" s="283"/>
      <c r="D60" s="283"/>
      <c r="E60" s="283"/>
      <c r="F60" s="283"/>
      <c r="G60" s="285" t="str">
        <f>IF(cst_wskakunin_KUIKI_KUIKIGAI="■","☑","□")</f>
        <v>□</v>
      </c>
      <c r="H60" s="283" t="s">
        <v>2860</v>
      </c>
      <c r="I60" s="283"/>
      <c r="J60" s="283"/>
      <c r="K60" s="283"/>
      <c r="L60" s="283"/>
      <c r="M60" s="283"/>
      <c r="N60" s="283"/>
      <c r="O60" s="283"/>
      <c r="P60" s="283"/>
      <c r="Q60" s="283"/>
      <c r="R60" s="283"/>
      <c r="S60" s="283"/>
      <c r="T60" s="283"/>
      <c r="U60" s="283"/>
      <c r="V60" s="283"/>
      <c r="W60" s="283"/>
      <c r="X60" s="283"/>
      <c r="Y60" s="283"/>
      <c r="Z60" s="283"/>
      <c r="AA60" s="283"/>
    </row>
    <row r="61" spans="1:28" ht="16.5" customHeight="1">
      <c r="A61" s="317" t="s">
        <v>2861</v>
      </c>
      <c r="B61" s="317"/>
      <c r="C61" s="317"/>
      <c r="D61" s="317"/>
      <c r="E61" s="317"/>
      <c r="F61" s="318" t="str">
        <f>IF(cst_wskakunin_KOUJI_SINTIKU_box="■","☑","□")</f>
        <v>☑</v>
      </c>
      <c r="G61" s="317" t="s">
        <v>2862</v>
      </c>
      <c r="H61" s="317"/>
      <c r="I61" s="317"/>
      <c r="J61" s="317"/>
      <c r="K61" s="318" t="str">
        <f>IF(cst_wskakunin_KOUJI_ZOUTIKU_box="■","☑","□")</f>
        <v>□</v>
      </c>
      <c r="L61" s="317" t="s">
        <v>2863</v>
      </c>
      <c r="M61" s="317"/>
      <c r="N61" s="317"/>
      <c r="O61" s="317"/>
      <c r="P61" s="318" t="str">
        <f>IF(cst_wskakunin_KOUJI_KAITIKU_box="■","☑","□")</f>
        <v>□</v>
      </c>
      <c r="Q61" s="317" t="s">
        <v>2864</v>
      </c>
      <c r="R61" s="317"/>
      <c r="S61" s="317"/>
      <c r="T61" s="317"/>
      <c r="U61" s="318" t="str">
        <f>IF(cst_wskakunin_KOUJI_ITEN_box="■","☑","□")</f>
        <v>□</v>
      </c>
      <c r="V61" s="317" t="s">
        <v>2865</v>
      </c>
      <c r="W61" s="317"/>
      <c r="X61" s="317"/>
      <c r="Y61" s="317"/>
      <c r="Z61" s="317"/>
      <c r="AA61" s="317"/>
    </row>
    <row r="62" spans="1:28" ht="16.5" customHeight="1">
      <c r="A62" s="324" t="s">
        <v>2866</v>
      </c>
      <c r="G62" s="324" t="s">
        <v>2867</v>
      </c>
      <c r="N62" s="308" t="s">
        <v>2868</v>
      </c>
      <c r="O62" s="696"/>
      <c r="P62" s="697"/>
      <c r="Q62" s="324" t="s">
        <v>2869</v>
      </c>
      <c r="R62" s="698" t="str">
        <f>IF(O62="","",VLOOKUP(O62,工事届用主要用途区分,2,FALSE))</f>
        <v/>
      </c>
      <c r="S62" s="699"/>
      <c r="T62" s="699"/>
      <c r="U62" s="699"/>
      <c r="V62" s="699"/>
      <c r="W62" s="699"/>
      <c r="X62" s="699"/>
      <c r="Y62" s="699"/>
      <c r="Z62" s="699"/>
      <c r="AA62" s="699"/>
    </row>
    <row r="63" spans="1:28" ht="16.5" customHeight="1">
      <c r="G63" s="324" t="s">
        <v>2870</v>
      </c>
      <c r="N63" s="308" t="s">
        <v>2868</v>
      </c>
      <c r="O63" s="700"/>
      <c r="P63" s="701"/>
      <c r="Q63" s="324" t="s">
        <v>2869</v>
      </c>
      <c r="R63" s="689" t="str">
        <f>IF(O63="","",VLOOKUP(O63,工事届用主要用途区分,2,FALSE))</f>
        <v/>
      </c>
      <c r="S63" s="690"/>
      <c r="T63" s="690"/>
      <c r="U63" s="690"/>
      <c r="V63" s="690"/>
      <c r="W63" s="690"/>
      <c r="X63" s="690"/>
      <c r="Y63" s="690"/>
      <c r="Z63" s="690"/>
      <c r="AA63" s="690"/>
    </row>
    <row r="64" spans="1:28" ht="16.5" customHeight="1">
      <c r="A64" s="283"/>
      <c r="B64" s="283"/>
      <c r="C64" s="283"/>
      <c r="D64" s="283"/>
      <c r="E64" s="283"/>
      <c r="F64" s="283"/>
      <c r="G64" s="283" t="s">
        <v>2871</v>
      </c>
      <c r="H64" s="283"/>
      <c r="I64" s="283"/>
      <c r="J64" s="283"/>
      <c r="K64" s="283"/>
      <c r="L64" s="283"/>
      <c r="M64" s="283"/>
      <c r="N64" s="310" t="s">
        <v>2868</v>
      </c>
      <c r="O64" s="719"/>
      <c r="P64" s="720"/>
      <c r="Q64" s="283" t="s">
        <v>2869</v>
      </c>
      <c r="R64" s="693" t="str">
        <f>IF(O64="","",VLOOKUP(O64,工事届用主要用途区分,2,FALSE))</f>
        <v/>
      </c>
      <c r="S64" s="694"/>
      <c r="T64" s="694"/>
      <c r="U64" s="694"/>
      <c r="V64" s="694"/>
      <c r="W64" s="694"/>
      <c r="X64" s="694"/>
      <c r="Y64" s="694"/>
      <c r="Z64" s="694"/>
      <c r="AA64" s="694"/>
    </row>
    <row r="65" spans="1:28" ht="16.5" customHeight="1">
      <c r="A65" s="324" t="s">
        <v>2872</v>
      </c>
    </row>
    <row r="66" spans="1:28" ht="16.5" customHeight="1">
      <c r="B66" s="324" t="s">
        <v>2873</v>
      </c>
      <c r="F66" s="308"/>
      <c r="H66" s="308" t="s">
        <v>2868</v>
      </c>
      <c r="I66" s="718" t="str">
        <f>IF(AND(I92="",I94=""),"",1)</f>
        <v/>
      </c>
      <c r="J66" s="706"/>
      <c r="K66" s="706"/>
      <c r="L66" s="706"/>
      <c r="M66" s="706"/>
      <c r="N66" s="324" t="s">
        <v>2874</v>
      </c>
      <c r="O66" s="308" t="s">
        <v>2868</v>
      </c>
      <c r="P66" s="702" t="str">
        <f>IF(AND(P92="",P94=""),"",2)</f>
        <v/>
      </c>
      <c r="Q66" s="706"/>
      <c r="R66" s="706"/>
      <c r="S66" s="706"/>
      <c r="T66" s="706"/>
      <c r="U66" s="324" t="s">
        <v>2874</v>
      </c>
      <c r="V66" s="308" t="s">
        <v>2868</v>
      </c>
      <c r="W66" s="702" t="str">
        <f>IF(AND(W92="",W94=""),"",3)</f>
        <v/>
      </c>
      <c r="X66" s="706"/>
      <c r="Y66" s="706"/>
      <c r="Z66" s="706"/>
      <c r="AA66" s="706"/>
      <c r="AB66" s="324" t="s">
        <v>2874</v>
      </c>
    </row>
    <row r="67" spans="1:28" ht="16.5" customHeight="1">
      <c r="B67" s="324" t="s">
        <v>2875</v>
      </c>
      <c r="H67" s="322" t="s">
        <v>2745</v>
      </c>
      <c r="I67" s="324" t="s">
        <v>2876</v>
      </c>
      <c r="J67" s="324" t="s">
        <v>1656</v>
      </c>
      <c r="O67" s="322" t="s">
        <v>2745</v>
      </c>
      <c r="P67" s="324" t="s">
        <v>2876</v>
      </c>
      <c r="Q67" s="324" t="s">
        <v>1656</v>
      </c>
      <c r="V67" s="322" t="s">
        <v>2745</v>
      </c>
      <c r="W67" s="324" t="s">
        <v>2876</v>
      </c>
      <c r="X67" s="324" t="s">
        <v>1656</v>
      </c>
    </row>
    <row r="68" spans="1:28" ht="15" customHeight="1">
      <c r="H68" s="322" t="s">
        <v>2745</v>
      </c>
      <c r="I68" s="324" t="s">
        <v>2877</v>
      </c>
      <c r="J68" s="324" t="s">
        <v>2878</v>
      </c>
      <c r="O68" s="322" t="s">
        <v>2745</v>
      </c>
      <c r="P68" s="324" t="s">
        <v>2877</v>
      </c>
      <c r="Q68" s="324" t="s">
        <v>2878</v>
      </c>
      <c r="V68" s="322" t="s">
        <v>2745</v>
      </c>
      <c r="W68" s="324" t="s">
        <v>2877</v>
      </c>
      <c r="X68" s="324" t="s">
        <v>2878</v>
      </c>
    </row>
    <row r="69" spans="1:28" ht="15" customHeight="1">
      <c r="J69" s="324" t="s">
        <v>2879</v>
      </c>
      <c r="Q69" s="324" t="s">
        <v>2879</v>
      </c>
      <c r="X69" s="324" t="s">
        <v>2879</v>
      </c>
    </row>
    <row r="70" spans="1:28" ht="15" customHeight="1">
      <c r="H70" s="322" t="s">
        <v>2745</v>
      </c>
      <c r="I70" s="324" t="s">
        <v>2880</v>
      </c>
      <c r="J70" s="324" t="s">
        <v>1660</v>
      </c>
      <c r="O70" s="322" t="s">
        <v>2745</v>
      </c>
      <c r="P70" s="324" t="s">
        <v>2880</v>
      </c>
      <c r="Q70" s="324" t="s">
        <v>1660</v>
      </c>
      <c r="V70" s="322" t="s">
        <v>2745</v>
      </c>
      <c r="W70" s="324" t="s">
        <v>2880</v>
      </c>
      <c r="X70" s="324" t="s">
        <v>1660</v>
      </c>
    </row>
    <row r="71" spans="1:28" ht="15" customHeight="1">
      <c r="H71" s="322" t="s">
        <v>2745</v>
      </c>
      <c r="I71" s="324" t="s">
        <v>2881</v>
      </c>
      <c r="J71" s="324" t="s">
        <v>1662</v>
      </c>
      <c r="O71" s="322" t="s">
        <v>2745</v>
      </c>
      <c r="P71" s="324" t="s">
        <v>2881</v>
      </c>
      <c r="Q71" s="324" t="s">
        <v>1662</v>
      </c>
      <c r="V71" s="322" t="s">
        <v>2745</v>
      </c>
      <c r="W71" s="324" t="s">
        <v>2881</v>
      </c>
      <c r="X71" s="324" t="s">
        <v>1662</v>
      </c>
    </row>
    <row r="72" spans="1:28" ht="15" customHeight="1">
      <c r="H72" s="322" t="s">
        <v>2745</v>
      </c>
      <c r="I72" s="324" t="s">
        <v>2882</v>
      </c>
      <c r="J72" s="324" t="s">
        <v>1664</v>
      </c>
      <c r="O72" s="322" t="s">
        <v>2745</v>
      </c>
      <c r="P72" s="324" t="s">
        <v>2882</v>
      </c>
      <c r="Q72" s="324" t="s">
        <v>1664</v>
      </c>
      <c r="V72" s="322" t="s">
        <v>2745</v>
      </c>
      <c r="W72" s="324" t="s">
        <v>2882</v>
      </c>
      <c r="X72" s="324" t="s">
        <v>1664</v>
      </c>
    </row>
    <row r="73" spans="1:28" ht="15" customHeight="1">
      <c r="H73" s="322" t="s">
        <v>2745</v>
      </c>
      <c r="I73" s="324" t="s">
        <v>2883</v>
      </c>
      <c r="J73" s="324" t="s">
        <v>1666</v>
      </c>
      <c r="O73" s="322" t="s">
        <v>2745</v>
      </c>
      <c r="P73" s="324" t="s">
        <v>2883</v>
      </c>
      <c r="Q73" s="324" t="s">
        <v>1666</v>
      </c>
      <c r="V73" s="322" t="s">
        <v>2745</v>
      </c>
      <c r="W73" s="324" t="s">
        <v>2883</v>
      </c>
      <c r="X73" s="324" t="s">
        <v>1666</v>
      </c>
    </row>
    <row r="74" spans="1:28" ht="15" customHeight="1">
      <c r="H74" s="322" t="s">
        <v>2745</v>
      </c>
      <c r="I74" s="324" t="s">
        <v>2884</v>
      </c>
      <c r="J74" s="324" t="s">
        <v>1668</v>
      </c>
      <c r="O74" s="322" t="s">
        <v>2745</v>
      </c>
      <c r="P74" s="324" t="s">
        <v>2884</v>
      </c>
      <c r="Q74" s="324" t="s">
        <v>1668</v>
      </c>
      <c r="V74" s="322" t="s">
        <v>2745</v>
      </c>
      <c r="W74" s="324" t="s">
        <v>2884</v>
      </c>
      <c r="X74" s="324" t="s">
        <v>1668</v>
      </c>
    </row>
    <row r="75" spans="1:28" ht="15" customHeight="1">
      <c r="H75" s="322" t="s">
        <v>2745</v>
      </c>
      <c r="I75" s="324" t="s">
        <v>2885</v>
      </c>
      <c r="O75" s="322" t="s">
        <v>2745</v>
      </c>
      <c r="P75" s="324" t="s">
        <v>2885</v>
      </c>
      <c r="V75" s="322" t="s">
        <v>2745</v>
      </c>
      <c r="W75" s="324" t="s">
        <v>2885</v>
      </c>
    </row>
    <row r="76" spans="1:28" ht="15" customHeight="1">
      <c r="B76" s="324" t="s">
        <v>2886</v>
      </c>
      <c r="H76" s="322" t="s">
        <v>2745</v>
      </c>
      <c r="I76" s="324" t="s">
        <v>2876</v>
      </c>
      <c r="J76" s="324" t="s">
        <v>2444</v>
      </c>
      <c r="O76" s="322" t="s">
        <v>2745</v>
      </c>
      <c r="P76" s="324" t="s">
        <v>2876</v>
      </c>
      <c r="Q76" s="324" t="s">
        <v>2444</v>
      </c>
      <c r="V76" s="322" t="s">
        <v>2745</v>
      </c>
      <c r="W76" s="324" t="s">
        <v>2876</v>
      </c>
      <c r="X76" s="324" t="s">
        <v>2444</v>
      </c>
    </row>
    <row r="77" spans="1:28" ht="15" customHeight="1">
      <c r="H77" s="322" t="s">
        <v>2745</v>
      </c>
      <c r="I77" s="324" t="s">
        <v>2877</v>
      </c>
      <c r="J77" s="324" t="s">
        <v>2887</v>
      </c>
      <c r="O77" s="322" t="s">
        <v>2745</v>
      </c>
      <c r="P77" s="324" t="s">
        <v>2877</v>
      </c>
      <c r="Q77" s="324" t="s">
        <v>2887</v>
      </c>
      <c r="V77" s="322" t="s">
        <v>2745</v>
      </c>
      <c r="W77" s="324" t="s">
        <v>2877</v>
      </c>
      <c r="X77" s="324" t="s">
        <v>2887</v>
      </c>
    </row>
    <row r="78" spans="1:28" ht="15" customHeight="1">
      <c r="J78" s="324" t="s">
        <v>2888</v>
      </c>
      <c r="Q78" s="324" t="s">
        <v>2888</v>
      </c>
      <c r="X78" s="324" t="s">
        <v>2888</v>
      </c>
    </row>
    <row r="79" spans="1:28" ht="15" customHeight="1">
      <c r="H79" s="322" t="s">
        <v>2745</v>
      </c>
      <c r="I79" s="324" t="s">
        <v>2880</v>
      </c>
      <c r="J79" s="324" t="s">
        <v>2889</v>
      </c>
      <c r="O79" s="322" t="s">
        <v>2745</v>
      </c>
      <c r="P79" s="324" t="s">
        <v>2880</v>
      </c>
      <c r="Q79" s="324" t="s">
        <v>2889</v>
      </c>
      <c r="V79" s="322" t="s">
        <v>2745</v>
      </c>
      <c r="W79" s="324" t="s">
        <v>2880</v>
      </c>
      <c r="X79" s="324" t="s">
        <v>2889</v>
      </c>
    </row>
    <row r="80" spans="1:28" ht="15" customHeight="1">
      <c r="J80" s="324" t="s">
        <v>2890</v>
      </c>
      <c r="Q80" s="324" t="s">
        <v>2890</v>
      </c>
      <c r="X80" s="324" t="s">
        <v>2890</v>
      </c>
    </row>
    <row r="81" spans="1:28" ht="15" customHeight="1">
      <c r="H81" s="322" t="s">
        <v>2745</v>
      </c>
      <c r="I81" s="324" t="s">
        <v>2881</v>
      </c>
      <c r="J81" s="324" t="s">
        <v>2500</v>
      </c>
      <c r="O81" s="322" t="s">
        <v>2745</v>
      </c>
      <c r="P81" s="324" t="s">
        <v>2881</v>
      </c>
      <c r="Q81" s="324" t="s">
        <v>2500</v>
      </c>
      <c r="V81" s="322" t="s">
        <v>2745</v>
      </c>
      <c r="W81" s="324" t="s">
        <v>2881</v>
      </c>
      <c r="X81" s="324" t="s">
        <v>2500</v>
      </c>
    </row>
    <row r="82" spans="1:28" ht="15" customHeight="1">
      <c r="H82" s="322" t="s">
        <v>2745</v>
      </c>
      <c r="I82" s="324" t="s">
        <v>2882</v>
      </c>
      <c r="J82" s="324" t="s">
        <v>2891</v>
      </c>
      <c r="O82" s="322" t="s">
        <v>2745</v>
      </c>
      <c r="P82" s="324" t="s">
        <v>2882</v>
      </c>
      <c r="Q82" s="324" t="s">
        <v>2891</v>
      </c>
      <c r="V82" s="322" t="s">
        <v>2745</v>
      </c>
      <c r="W82" s="324" t="s">
        <v>2882</v>
      </c>
      <c r="X82" s="324" t="s">
        <v>2891</v>
      </c>
    </row>
    <row r="83" spans="1:28" ht="15" customHeight="1">
      <c r="J83" s="324" t="s">
        <v>2892</v>
      </c>
      <c r="Q83" s="324" t="s">
        <v>2892</v>
      </c>
      <c r="X83" s="324" t="s">
        <v>2892</v>
      </c>
    </row>
    <row r="84" spans="1:28" ht="15" customHeight="1">
      <c r="H84" s="322" t="s">
        <v>2745</v>
      </c>
      <c r="I84" s="324" t="s">
        <v>2883</v>
      </c>
      <c r="J84" s="324" t="s">
        <v>1668</v>
      </c>
      <c r="O84" s="322" t="s">
        <v>2745</v>
      </c>
      <c r="P84" s="324" t="s">
        <v>2883</v>
      </c>
      <c r="Q84" s="324" t="s">
        <v>1668</v>
      </c>
      <c r="V84" s="322" t="s">
        <v>2745</v>
      </c>
      <c r="W84" s="324" t="s">
        <v>2883</v>
      </c>
      <c r="X84" s="324" t="s">
        <v>1668</v>
      </c>
    </row>
    <row r="85" spans="1:28" ht="15" customHeight="1">
      <c r="B85" s="324" t="s">
        <v>2893</v>
      </c>
    </row>
    <row r="86" spans="1:28" ht="15" customHeight="1">
      <c r="H86" s="308" t="s">
        <v>2868</v>
      </c>
      <c r="I86" s="702"/>
      <c r="J86" s="717"/>
      <c r="K86" s="717"/>
      <c r="L86" s="717"/>
      <c r="M86" s="324" t="s">
        <v>2894</v>
      </c>
      <c r="O86" s="308" t="s">
        <v>2868</v>
      </c>
      <c r="P86" s="702"/>
      <c r="Q86" s="717"/>
      <c r="R86" s="717"/>
      <c r="S86" s="717"/>
      <c r="T86" s="324" t="s">
        <v>2894</v>
      </c>
      <c r="V86" s="308" t="s">
        <v>2868</v>
      </c>
      <c r="W86" s="702"/>
      <c r="X86" s="702"/>
      <c r="Y86" s="702"/>
      <c r="Z86" s="702"/>
      <c r="AA86" s="324" t="s">
        <v>2894</v>
      </c>
    </row>
    <row r="87" spans="1:28" ht="16.5" customHeight="1">
      <c r="B87" s="324" t="s">
        <v>2895</v>
      </c>
    </row>
    <row r="88" spans="1:28" ht="15.75" customHeight="1">
      <c r="C88" s="324" t="s">
        <v>2896</v>
      </c>
      <c r="H88" s="308" t="s">
        <v>2868</v>
      </c>
      <c r="I88" s="713" t="str">
        <f>cst_wskakunin_NOBE_MENSEKI_BUILD_SHINSEI</f>
        <v/>
      </c>
      <c r="J88" s="714"/>
      <c r="K88" s="714"/>
      <c r="L88" s="714"/>
      <c r="M88" s="714"/>
      <c r="N88" s="324" t="s">
        <v>2874</v>
      </c>
      <c r="O88" s="308" t="s">
        <v>2868</v>
      </c>
      <c r="P88" s="715"/>
      <c r="Q88" s="716"/>
      <c r="R88" s="716"/>
      <c r="S88" s="716"/>
      <c r="T88" s="716"/>
      <c r="U88" s="324" t="s">
        <v>2874</v>
      </c>
      <c r="V88" s="308" t="s">
        <v>2868</v>
      </c>
      <c r="W88" s="715"/>
      <c r="X88" s="716"/>
      <c r="Y88" s="716"/>
      <c r="Z88" s="716"/>
      <c r="AA88" s="716"/>
      <c r="AB88" s="324" t="s">
        <v>2874</v>
      </c>
    </row>
    <row r="89" spans="1:28" ht="16.5" customHeight="1">
      <c r="B89" s="324" t="s">
        <v>2897</v>
      </c>
      <c r="I89" s="308"/>
      <c r="O89" s="308"/>
      <c r="V89" s="308"/>
    </row>
    <row r="90" spans="1:28" ht="16.5" customHeight="1">
      <c r="H90" s="308" t="s">
        <v>2868</v>
      </c>
      <c r="I90" s="702"/>
      <c r="J90" s="717"/>
      <c r="K90" s="717"/>
      <c r="L90" s="717"/>
      <c r="M90" s="324" t="s">
        <v>2898</v>
      </c>
      <c r="O90" s="308" t="s">
        <v>2868</v>
      </c>
      <c r="P90" s="702"/>
      <c r="Q90" s="717"/>
      <c r="R90" s="717"/>
      <c r="S90" s="717"/>
      <c r="T90" s="324" t="s">
        <v>2898</v>
      </c>
      <c r="V90" s="308" t="s">
        <v>2868</v>
      </c>
      <c r="W90" s="702"/>
      <c r="X90" s="702"/>
      <c r="Y90" s="702"/>
      <c r="Z90" s="702"/>
      <c r="AA90" s="324" t="s">
        <v>2898</v>
      </c>
    </row>
    <row r="91" spans="1:28" ht="16.5" customHeight="1">
      <c r="B91" s="324" t="s">
        <v>2899</v>
      </c>
    </row>
    <row r="92" spans="1:28" ht="16.5" customHeight="1">
      <c r="H92" s="308" t="s">
        <v>2868</v>
      </c>
      <c r="I92" s="709" t="str">
        <f>cst_wskakunin_p4_1_KAISU_TIKAI_NOZOKU</f>
        <v/>
      </c>
      <c r="J92" s="709"/>
      <c r="K92" s="709"/>
      <c r="L92" s="709"/>
      <c r="M92" s="709"/>
      <c r="N92" s="324" t="s">
        <v>2874</v>
      </c>
      <c r="O92" s="308" t="s">
        <v>2868</v>
      </c>
      <c r="P92" s="710"/>
      <c r="Q92" s="710"/>
      <c r="R92" s="710"/>
      <c r="S92" s="710"/>
      <c r="T92" s="710"/>
      <c r="U92" s="324" t="s">
        <v>2874</v>
      </c>
      <c r="V92" s="308" t="s">
        <v>2868</v>
      </c>
      <c r="W92" s="710"/>
      <c r="X92" s="710"/>
      <c r="Y92" s="710"/>
      <c r="Z92" s="710"/>
      <c r="AA92" s="710"/>
      <c r="AB92" s="324" t="s">
        <v>2874</v>
      </c>
    </row>
    <row r="93" spans="1:28" ht="16.5" customHeight="1">
      <c r="B93" s="324" t="s">
        <v>2900</v>
      </c>
    </row>
    <row r="94" spans="1:28" ht="16.5" customHeight="1">
      <c r="A94" s="283"/>
      <c r="B94" s="283"/>
      <c r="C94" s="283"/>
      <c r="D94" s="283"/>
      <c r="E94" s="283"/>
      <c r="F94" s="283"/>
      <c r="G94" s="283"/>
      <c r="H94" s="308" t="s">
        <v>2868</v>
      </c>
      <c r="I94" s="711" t="str">
        <f>cst_wskakunin_p4_1_KAISU_TIKAI</f>
        <v/>
      </c>
      <c r="J94" s="712"/>
      <c r="K94" s="712"/>
      <c r="L94" s="712"/>
      <c r="M94" s="712"/>
      <c r="N94" s="324" t="s">
        <v>2874</v>
      </c>
      <c r="O94" s="308" t="s">
        <v>2868</v>
      </c>
      <c r="P94" s="710"/>
      <c r="Q94" s="710"/>
      <c r="R94" s="710"/>
      <c r="S94" s="710"/>
      <c r="T94" s="710"/>
      <c r="U94" s="324" t="s">
        <v>2874</v>
      </c>
      <c r="V94" s="308" t="s">
        <v>2868</v>
      </c>
      <c r="W94" s="710"/>
      <c r="X94" s="710"/>
      <c r="Y94" s="710"/>
      <c r="Z94" s="710"/>
      <c r="AA94" s="710"/>
      <c r="AB94" s="324" t="s">
        <v>2874</v>
      </c>
    </row>
    <row r="95" spans="1:28" ht="16.5" customHeight="1">
      <c r="A95" s="317" t="s">
        <v>2901</v>
      </c>
      <c r="B95" s="317"/>
      <c r="C95" s="317"/>
      <c r="D95" s="317"/>
      <c r="E95" s="317"/>
      <c r="F95" s="317"/>
      <c r="G95" s="317"/>
      <c r="H95" s="317"/>
      <c r="I95" s="317"/>
      <c r="J95" s="317"/>
      <c r="K95" s="317"/>
      <c r="L95" s="317"/>
      <c r="M95" s="317"/>
      <c r="N95" s="704" t="str">
        <f>cst_wskakunin_SHIKITI_MENSEKI_1_TOTAL</f>
        <v/>
      </c>
      <c r="O95" s="705"/>
      <c r="P95" s="705"/>
      <c r="Q95" s="705"/>
      <c r="R95" s="705"/>
      <c r="S95" s="317" t="s">
        <v>2902</v>
      </c>
      <c r="T95" s="317"/>
      <c r="U95" s="317"/>
      <c r="V95" s="317"/>
      <c r="W95" s="317"/>
      <c r="X95" s="317"/>
      <c r="Y95" s="317"/>
      <c r="Z95" s="317"/>
      <c r="AA95" s="317"/>
    </row>
    <row r="96" spans="1:28" ht="8.25" customHeight="1"/>
    <row r="97" spans="1:27" ht="15" customHeight="1">
      <c r="A97" s="695" t="s">
        <v>2903</v>
      </c>
      <c r="B97" s="695"/>
      <c r="C97" s="695"/>
      <c r="D97" s="695"/>
      <c r="E97" s="695"/>
      <c r="F97" s="695"/>
      <c r="G97" s="695"/>
      <c r="H97" s="695"/>
      <c r="I97" s="695"/>
      <c r="J97" s="695"/>
      <c r="K97" s="695"/>
      <c r="L97" s="695"/>
      <c r="M97" s="695"/>
      <c r="N97" s="695"/>
      <c r="O97" s="695"/>
      <c r="P97" s="695"/>
      <c r="Q97" s="695"/>
      <c r="R97" s="695"/>
      <c r="S97" s="695"/>
      <c r="T97" s="695"/>
      <c r="U97" s="695"/>
      <c r="V97" s="695"/>
      <c r="W97" s="695"/>
      <c r="X97" s="695"/>
      <c r="Y97" s="695"/>
      <c r="Z97" s="695"/>
      <c r="AA97" s="695"/>
    </row>
    <row r="98" spans="1:27" ht="16.5" customHeight="1">
      <c r="A98" s="324" t="s">
        <v>2904</v>
      </c>
    </row>
    <row r="99" spans="1:27" ht="16.5" customHeight="1">
      <c r="B99" s="324" t="s">
        <v>2873</v>
      </c>
      <c r="G99" s="702"/>
      <c r="H99" s="706"/>
      <c r="I99" s="706"/>
    </row>
    <row r="100" spans="1:27" ht="16.5" customHeight="1">
      <c r="B100" s="324" t="s">
        <v>2905</v>
      </c>
      <c r="J100" s="324" t="s">
        <v>2906</v>
      </c>
      <c r="M100" s="324" t="s">
        <v>2868</v>
      </c>
      <c r="N100" s="322" t="s">
        <v>2745</v>
      </c>
      <c r="O100" s="324" t="s">
        <v>1879</v>
      </c>
      <c r="Q100" s="322" t="s">
        <v>2745</v>
      </c>
      <c r="R100" s="324" t="s">
        <v>1883</v>
      </c>
      <c r="T100" s="322" t="s">
        <v>2745</v>
      </c>
      <c r="U100" s="324" t="s">
        <v>1886</v>
      </c>
      <c r="W100" s="324" t="s">
        <v>2874</v>
      </c>
    </row>
    <row r="101" spans="1:27" ht="16.5" customHeight="1">
      <c r="J101" s="324" t="s">
        <v>2907</v>
      </c>
      <c r="M101" s="324" t="s">
        <v>2868</v>
      </c>
      <c r="Q101" s="322" t="s">
        <v>2745</v>
      </c>
      <c r="R101" s="324" t="s">
        <v>1883</v>
      </c>
      <c r="T101" s="322" t="s">
        <v>2745</v>
      </c>
      <c r="U101" s="324" t="s">
        <v>1886</v>
      </c>
      <c r="W101" s="324" t="s">
        <v>2874</v>
      </c>
    </row>
    <row r="102" spans="1:27" ht="16.5" customHeight="1">
      <c r="B102" s="324" t="s">
        <v>2908</v>
      </c>
      <c r="H102" s="322" t="s">
        <v>2745</v>
      </c>
      <c r="I102" s="324" t="s">
        <v>2909</v>
      </c>
      <c r="O102" s="322" t="s">
        <v>2745</v>
      </c>
      <c r="P102" s="324" t="s">
        <v>2910</v>
      </c>
      <c r="T102" s="322" t="s">
        <v>2745</v>
      </c>
      <c r="U102" s="324" t="s">
        <v>2911</v>
      </c>
    </row>
    <row r="103" spans="1:27" ht="16.5" customHeight="1">
      <c r="H103" s="322" t="s">
        <v>2745</v>
      </c>
      <c r="I103" s="324" t="s">
        <v>2912</v>
      </c>
      <c r="P103" s="322" t="s">
        <v>2745</v>
      </c>
      <c r="Q103" s="324" t="s">
        <v>2913</v>
      </c>
    </row>
    <row r="104" spans="1:27" ht="16.5" customHeight="1">
      <c r="B104" s="324" t="s">
        <v>2914</v>
      </c>
      <c r="H104" s="322" t="s">
        <v>2745</v>
      </c>
      <c r="I104" s="324" t="s">
        <v>2915</v>
      </c>
      <c r="N104" s="322" t="s">
        <v>2745</v>
      </c>
      <c r="O104" s="324" t="s">
        <v>2916</v>
      </c>
      <c r="U104" s="322" t="s">
        <v>2745</v>
      </c>
      <c r="V104" s="324" t="s">
        <v>2917</v>
      </c>
    </row>
    <row r="105" spans="1:27" ht="16.5" customHeight="1">
      <c r="B105" s="324" t="s">
        <v>2918</v>
      </c>
      <c r="H105" s="322" t="s">
        <v>2745</v>
      </c>
      <c r="I105" s="324" t="s">
        <v>2919</v>
      </c>
      <c r="N105" s="322" t="s">
        <v>2745</v>
      </c>
      <c r="O105" s="324" t="s">
        <v>2920</v>
      </c>
      <c r="U105" s="322" t="s">
        <v>2745</v>
      </c>
      <c r="V105" s="324" t="s">
        <v>2921</v>
      </c>
    </row>
    <row r="106" spans="1:27" ht="16.5" customHeight="1">
      <c r="B106" s="324" t="s">
        <v>2922</v>
      </c>
      <c r="H106" s="322" t="s">
        <v>2745</v>
      </c>
      <c r="I106" s="324" t="s">
        <v>2923</v>
      </c>
      <c r="N106" s="322" t="s">
        <v>2745</v>
      </c>
      <c r="O106" s="324" t="s">
        <v>2924</v>
      </c>
      <c r="U106" s="322" t="s">
        <v>2745</v>
      </c>
      <c r="V106" s="324" t="s">
        <v>2925</v>
      </c>
    </row>
    <row r="107" spans="1:27" ht="16.5" customHeight="1">
      <c r="B107" s="324" t="s">
        <v>2926</v>
      </c>
      <c r="G107" s="308"/>
      <c r="H107" s="322" t="s">
        <v>2745</v>
      </c>
      <c r="I107" s="707" t="s">
        <v>2927</v>
      </c>
      <c r="J107" s="708"/>
      <c r="K107" s="708"/>
      <c r="L107" s="325"/>
      <c r="M107" s="322" t="s">
        <v>2745</v>
      </c>
      <c r="N107" s="707" t="s">
        <v>2928</v>
      </c>
      <c r="O107" s="708"/>
      <c r="P107" s="708"/>
      <c r="Q107" s="325"/>
      <c r="R107" s="322" t="s">
        <v>2745</v>
      </c>
      <c r="S107" s="707" t="s">
        <v>2929</v>
      </c>
      <c r="T107" s="708"/>
      <c r="U107" s="708"/>
      <c r="V107" s="325"/>
      <c r="W107" s="322" t="s">
        <v>2745</v>
      </c>
      <c r="X107" s="707" t="s">
        <v>2930</v>
      </c>
      <c r="Y107" s="708"/>
      <c r="Z107" s="708"/>
      <c r="AA107" s="309"/>
    </row>
    <row r="108" spans="1:27" ht="16.5" customHeight="1">
      <c r="B108" s="324" t="s">
        <v>2931</v>
      </c>
      <c r="G108" s="308" t="s">
        <v>2868</v>
      </c>
      <c r="H108" s="689" t="str">
        <f>IF(H107="☑",1,"")</f>
        <v/>
      </c>
      <c r="I108" s="689"/>
      <c r="J108" s="689"/>
      <c r="K108" s="689"/>
      <c r="L108" s="325" t="s">
        <v>2932</v>
      </c>
      <c r="M108" s="702"/>
      <c r="N108" s="702"/>
      <c r="O108" s="702"/>
      <c r="P108" s="702"/>
      <c r="Q108" s="325" t="s">
        <v>2932</v>
      </c>
      <c r="R108" s="702"/>
      <c r="S108" s="702"/>
      <c r="T108" s="702"/>
      <c r="U108" s="702"/>
      <c r="V108" s="325" t="s">
        <v>2932</v>
      </c>
      <c r="W108" s="689" t="str">
        <f>IF(W107="☑",1,"")</f>
        <v/>
      </c>
      <c r="X108" s="689"/>
      <c r="Y108" s="689"/>
      <c r="Z108" s="689"/>
      <c r="AA108" s="309" t="s">
        <v>2874</v>
      </c>
    </row>
    <row r="109" spans="1:27" ht="16.5" customHeight="1">
      <c r="B109" s="324" t="s">
        <v>2933</v>
      </c>
      <c r="G109" s="308" t="s">
        <v>2868</v>
      </c>
      <c r="H109" s="703" t="str">
        <f>IF(H107="☑",cst_wskakunin_NOBE_MENSEKI_JYUTAKU_SHINSEI,"")</f>
        <v/>
      </c>
      <c r="I109" s="703"/>
      <c r="J109" s="703"/>
      <c r="K109" s="703"/>
      <c r="L109" s="325" t="s">
        <v>2932</v>
      </c>
      <c r="M109" s="702"/>
      <c r="N109" s="702"/>
      <c r="O109" s="702"/>
      <c r="P109" s="702"/>
      <c r="Q109" s="325" t="s">
        <v>2932</v>
      </c>
      <c r="R109" s="702"/>
      <c r="S109" s="702"/>
      <c r="T109" s="702"/>
      <c r="U109" s="702"/>
      <c r="V109" s="325" t="s">
        <v>2932</v>
      </c>
      <c r="W109" s="703" t="str">
        <f>IF(W107="☑",cst_wskakunin_NOBE_MENSEKI_JYUTAKU_SHINSEI,"")</f>
        <v/>
      </c>
      <c r="X109" s="703"/>
      <c r="Y109" s="703"/>
      <c r="Z109" s="703"/>
      <c r="AA109" s="309" t="s">
        <v>2874</v>
      </c>
    </row>
    <row r="110" spans="1:27" ht="16.5" customHeight="1">
      <c r="A110" s="283"/>
      <c r="B110" s="283"/>
      <c r="C110" s="283" t="s">
        <v>2934</v>
      </c>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2" spans="1:27" ht="15" customHeight="1">
      <c r="A112" s="695" t="s">
        <v>2935</v>
      </c>
      <c r="B112" s="695"/>
      <c r="C112" s="695"/>
      <c r="D112" s="695"/>
      <c r="E112" s="695"/>
      <c r="F112" s="695"/>
      <c r="G112" s="695"/>
      <c r="H112" s="695"/>
      <c r="I112" s="695"/>
      <c r="J112" s="695"/>
      <c r="K112" s="695"/>
      <c r="L112" s="695"/>
      <c r="M112" s="695"/>
      <c r="N112" s="695"/>
      <c r="O112" s="695"/>
      <c r="P112" s="695"/>
      <c r="Q112" s="695"/>
      <c r="R112" s="695"/>
      <c r="S112" s="695"/>
      <c r="T112" s="695"/>
      <c r="U112" s="695"/>
      <c r="V112" s="695"/>
      <c r="W112" s="695"/>
      <c r="X112" s="695"/>
      <c r="Y112" s="695"/>
      <c r="Z112" s="695"/>
      <c r="AA112" s="695"/>
    </row>
    <row r="113" spans="1:27" ht="16.5" customHeight="1">
      <c r="A113" s="324" t="s">
        <v>2936</v>
      </c>
      <c r="G113" s="324" t="s">
        <v>2867</v>
      </c>
      <c r="N113" s="308" t="s">
        <v>2868</v>
      </c>
      <c r="O113" s="696"/>
      <c r="P113" s="697"/>
      <c r="Q113" s="324" t="s">
        <v>2869</v>
      </c>
      <c r="R113" s="698" t="str">
        <f>IF(O113="","",VLOOKUP(O113,工事届用主要用途区分,2,FALSE))</f>
        <v/>
      </c>
      <c r="S113" s="699"/>
      <c r="T113" s="699"/>
      <c r="U113" s="699"/>
      <c r="V113" s="699"/>
      <c r="W113" s="699"/>
      <c r="X113" s="699"/>
      <c r="Y113" s="699"/>
      <c r="Z113" s="699"/>
      <c r="AA113" s="699"/>
    </row>
    <row r="114" spans="1:27" ht="16.5" customHeight="1">
      <c r="G114" s="324" t="s">
        <v>2870</v>
      </c>
      <c r="N114" s="308" t="s">
        <v>2868</v>
      </c>
      <c r="O114" s="700"/>
      <c r="P114" s="701"/>
      <c r="Q114" s="324" t="s">
        <v>2869</v>
      </c>
      <c r="R114" s="689" t="str">
        <f>IF(O114="","",VLOOKUP(O114,工事届用主要用途区分,2,FALSE))</f>
        <v/>
      </c>
      <c r="S114" s="690"/>
      <c r="T114" s="690"/>
      <c r="U114" s="690"/>
      <c r="V114" s="690"/>
      <c r="W114" s="690"/>
      <c r="X114" s="690"/>
      <c r="Y114" s="690"/>
      <c r="Z114" s="690"/>
      <c r="AA114" s="690"/>
    </row>
    <row r="115" spans="1:27" ht="16.5" customHeight="1">
      <c r="G115" s="324" t="s">
        <v>2871</v>
      </c>
      <c r="N115" s="308" t="s">
        <v>2868</v>
      </c>
      <c r="O115" s="700"/>
      <c r="P115" s="701"/>
      <c r="Q115" s="324" t="s">
        <v>2869</v>
      </c>
      <c r="R115" s="689" t="str">
        <f>IF(O115="","",VLOOKUP(O115,工事届用主要用途区分,2,FALSE))</f>
        <v/>
      </c>
      <c r="S115" s="690"/>
      <c r="T115" s="690"/>
      <c r="U115" s="690"/>
      <c r="V115" s="690"/>
      <c r="W115" s="690"/>
      <c r="X115" s="690"/>
      <c r="Y115" s="690"/>
      <c r="Z115" s="690"/>
      <c r="AA115" s="690"/>
    </row>
    <row r="116" spans="1:27" ht="16.5" customHeight="1">
      <c r="A116" s="324" t="s">
        <v>2937</v>
      </c>
      <c r="F116" s="322" t="s">
        <v>2745</v>
      </c>
      <c r="G116" s="324" t="s">
        <v>2938</v>
      </c>
      <c r="Q116" s="322" t="s">
        <v>2745</v>
      </c>
      <c r="R116" s="324" t="s">
        <v>2939</v>
      </c>
    </row>
    <row r="117" spans="1:27" ht="16.5" customHeight="1">
      <c r="A117" s="324" t="s">
        <v>2940</v>
      </c>
      <c r="F117" s="322" t="s">
        <v>2745</v>
      </c>
      <c r="G117" s="324" t="s">
        <v>2941</v>
      </c>
      <c r="Q117" s="322" t="s">
        <v>2745</v>
      </c>
      <c r="R117" s="324" t="s">
        <v>2939</v>
      </c>
    </row>
    <row r="118" spans="1:27" ht="16.5" customHeight="1">
      <c r="A118" s="324" t="s">
        <v>2942</v>
      </c>
      <c r="J118" s="689"/>
      <c r="K118" s="690"/>
    </row>
    <row r="119" spans="1:27" ht="16.5" customHeight="1">
      <c r="A119" s="324" t="s">
        <v>2943</v>
      </c>
      <c r="J119" s="689"/>
      <c r="K119" s="690"/>
      <c r="L119" s="324" t="s">
        <v>2944</v>
      </c>
    </row>
    <row r="120" spans="1:27" ht="16.5" customHeight="1">
      <c r="A120" s="324" t="s">
        <v>2945</v>
      </c>
      <c r="H120" s="322" t="s">
        <v>2745</v>
      </c>
      <c r="I120" s="324" t="s">
        <v>2946</v>
      </c>
      <c r="L120" s="322" t="s">
        <v>2745</v>
      </c>
      <c r="M120" s="324" t="s">
        <v>2947</v>
      </c>
      <c r="P120" s="322" t="s">
        <v>2745</v>
      </c>
      <c r="Q120" s="324" t="s">
        <v>2948</v>
      </c>
    </row>
    <row r="121" spans="1:27" ht="16.5" customHeight="1">
      <c r="A121" s="324" t="s">
        <v>2949</v>
      </c>
      <c r="I121" s="691"/>
      <c r="J121" s="692"/>
      <c r="K121" s="692"/>
      <c r="L121" s="324" t="s">
        <v>2902</v>
      </c>
    </row>
    <row r="122" spans="1:27" ht="16.5" customHeight="1">
      <c r="A122" s="283" t="s">
        <v>2950</v>
      </c>
      <c r="B122" s="283"/>
      <c r="C122" s="283"/>
      <c r="D122" s="283"/>
      <c r="E122" s="283"/>
      <c r="F122" s="283"/>
      <c r="G122" s="283"/>
      <c r="H122" s="283"/>
      <c r="I122" s="693"/>
      <c r="J122" s="694"/>
      <c r="K122" s="694"/>
      <c r="L122" s="283" t="s">
        <v>2951</v>
      </c>
      <c r="M122" s="283"/>
      <c r="N122" s="283"/>
      <c r="O122" s="283"/>
      <c r="P122" s="283"/>
      <c r="Q122" s="283"/>
      <c r="R122" s="283"/>
      <c r="S122" s="283"/>
      <c r="T122" s="283"/>
      <c r="U122" s="283"/>
      <c r="V122" s="283"/>
      <c r="W122" s="283"/>
      <c r="X122" s="283"/>
      <c r="Y122" s="283"/>
      <c r="Z122" s="283"/>
      <c r="AA122" s="283"/>
    </row>
  </sheetData>
  <sheetProtection formatCells="0" formatColumns="0" formatRows="0"/>
  <mergeCells count="83">
    <mergeCell ref="E21:J21"/>
    <mergeCell ref="A4:AA4"/>
    <mergeCell ref="A5:AA5"/>
    <mergeCell ref="A6:AA6"/>
    <mergeCell ref="S8:T8"/>
    <mergeCell ref="B10:E10"/>
    <mergeCell ref="B12:D13"/>
    <mergeCell ref="E12:Y13"/>
    <mergeCell ref="Z12:Z13"/>
    <mergeCell ref="E14:J14"/>
    <mergeCell ref="E15:AA15"/>
    <mergeCell ref="E16:L16"/>
    <mergeCell ref="E18:AA18"/>
    <mergeCell ref="E20:AA20"/>
    <mergeCell ref="E37:X37"/>
    <mergeCell ref="E22:AA22"/>
    <mergeCell ref="E23:L23"/>
    <mergeCell ref="E25:AA25"/>
    <mergeCell ref="E27:AA27"/>
    <mergeCell ref="E28:J28"/>
    <mergeCell ref="E29:AA29"/>
    <mergeCell ref="E30:L30"/>
    <mergeCell ref="J32:P32"/>
    <mergeCell ref="H33:I33"/>
    <mergeCell ref="I34:Z34"/>
    <mergeCell ref="E36:X36"/>
    <mergeCell ref="O64:P64"/>
    <mergeCell ref="R64:AA64"/>
    <mergeCell ref="E38:J38"/>
    <mergeCell ref="E39:Y39"/>
    <mergeCell ref="E40:L40"/>
    <mergeCell ref="A44:AA44"/>
    <mergeCell ref="K46:L46"/>
    <mergeCell ref="K47:L47"/>
    <mergeCell ref="G55:AB57"/>
    <mergeCell ref="O62:P62"/>
    <mergeCell ref="R62:AA62"/>
    <mergeCell ref="O63:P63"/>
    <mergeCell ref="R63:AA63"/>
    <mergeCell ref="I66:M66"/>
    <mergeCell ref="P66:T66"/>
    <mergeCell ref="W66:AA66"/>
    <mergeCell ref="I86:L86"/>
    <mergeCell ref="P86:S86"/>
    <mergeCell ref="W86:Z86"/>
    <mergeCell ref="I88:M88"/>
    <mergeCell ref="P88:T88"/>
    <mergeCell ref="W88:AA88"/>
    <mergeCell ref="I90:L90"/>
    <mergeCell ref="P90:S90"/>
    <mergeCell ref="W90:Z90"/>
    <mergeCell ref="I92:M92"/>
    <mergeCell ref="P92:T92"/>
    <mergeCell ref="W92:AA92"/>
    <mergeCell ref="I94:M94"/>
    <mergeCell ref="P94:T94"/>
    <mergeCell ref="W94:AA94"/>
    <mergeCell ref="N95:R95"/>
    <mergeCell ref="A97:AA97"/>
    <mergeCell ref="G99:I99"/>
    <mergeCell ref="I107:K107"/>
    <mergeCell ref="N107:P107"/>
    <mergeCell ref="S107:U107"/>
    <mergeCell ref="X107:Z107"/>
    <mergeCell ref="H108:K108"/>
    <mergeCell ref="M108:P108"/>
    <mergeCell ref="R108:U108"/>
    <mergeCell ref="W108:Z108"/>
    <mergeCell ref="H109:K109"/>
    <mergeCell ref="M109:P109"/>
    <mergeCell ref="R109:U109"/>
    <mergeCell ref="W109:Z109"/>
    <mergeCell ref="J118:K118"/>
    <mergeCell ref="J119:K119"/>
    <mergeCell ref="I121:K121"/>
    <mergeCell ref="I122:K122"/>
    <mergeCell ref="A112:AA112"/>
    <mergeCell ref="O113:P113"/>
    <mergeCell ref="R113:AA113"/>
    <mergeCell ref="O114:P114"/>
    <mergeCell ref="R114:AA114"/>
    <mergeCell ref="O115:P115"/>
    <mergeCell ref="R115:AA115"/>
  </mergeCells>
  <phoneticPr fontId="7"/>
  <dataValidations count="4">
    <dataValidation type="list" showInputMessage="1" sqref="H67:H68 V70:V77 T53 I49:I50 M49:M50 T49:T50 K51:K53 R51 H70:H77 O70:O77 O67:O68 V67:V68 V79 O79 H79 H81:H82 O81:O82 V81:V82 H84 O84 V84 N100 Q100:Q101 T100:T102 H102:H107 O102 P103 N104:N106 U104:U106 M107 R107 W107 F116:F117 Q116:Q117 H120 L120 P120" xr:uid="{C87BA6F6-F468-482D-B62A-41F0A292CF51}">
      <formula1>"□,☑"</formula1>
    </dataValidation>
    <dataValidation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600 JB65600 SX65600 ACT65600 AMP65600 AWL65600 BGH65600 BQD65600 BZZ65600 CJV65600 CTR65600 DDN65600 DNJ65600 DXF65600 EHB65600 EQX65600 FAT65600 FKP65600 FUL65600 GEH65600 GOD65600 GXZ65600 HHV65600 HRR65600 IBN65600 ILJ65600 IVF65600 JFB65600 JOX65600 JYT65600 KIP65600 KSL65600 LCH65600 LMD65600 LVZ65600 MFV65600 MPR65600 MZN65600 NJJ65600 NTF65600 ODB65600 OMX65600 OWT65600 PGP65600 PQL65600 QAH65600 QKD65600 QTZ65600 RDV65600 RNR65600 RXN65600 SHJ65600 SRF65600 TBB65600 TKX65600 TUT65600 UEP65600 UOL65600 UYH65600 VID65600 VRZ65600 WBV65600 WLR65600 WVN65600 F131136 JB131136 SX131136 ACT131136 AMP131136 AWL131136 BGH131136 BQD131136 BZZ131136 CJV131136 CTR131136 DDN131136 DNJ131136 DXF131136 EHB131136 EQX131136 FAT131136 FKP131136 FUL131136 GEH131136 GOD131136 GXZ131136 HHV131136 HRR131136 IBN131136 ILJ131136 IVF131136 JFB131136 JOX131136 JYT131136 KIP131136 KSL131136 LCH131136 LMD131136 LVZ131136 MFV131136 MPR131136 MZN131136 NJJ131136 NTF131136 ODB131136 OMX131136 OWT131136 PGP131136 PQL131136 QAH131136 QKD131136 QTZ131136 RDV131136 RNR131136 RXN131136 SHJ131136 SRF131136 TBB131136 TKX131136 TUT131136 UEP131136 UOL131136 UYH131136 VID131136 VRZ131136 WBV131136 WLR131136 WVN131136 F196672 JB196672 SX196672 ACT196672 AMP196672 AWL196672 BGH196672 BQD196672 BZZ196672 CJV196672 CTR196672 DDN196672 DNJ196672 DXF196672 EHB196672 EQX196672 FAT196672 FKP196672 FUL196672 GEH196672 GOD196672 GXZ196672 HHV196672 HRR196672 IBN196672 ILJ196672 IVF196672 JFB196672 JOX196672 JYT196672 KIP196672 KSL196672 LCH196672 LMD196672 LVZ196672 MFV196672 MPR196672 MZN196672 NJJ196672 NTF196672 ODB196672 OMX196672 OWT196672 PGP196672 PQL196672 QAH196672 QKD196672 QTZ196672 RDV196672 RNR196672 RXN196672 SHJ196672 SRF196672 TBB196672 TKX196672 TUT196672 UEP196672 UOL196672 UYH196672 VID196672 VRZ196672 WBV196672 WLR196672 WVN196672 F262208 JB262208 SX262208 ACT262208 AMP262208 AWL262208 BGH262208 BQD262208 BZZ262208 CJV262208 CTR262208 DDN262208 DNJ262208 DXF262208 EHB262208 EQX262208 FAT262208 FKP262208 FUL262208 GEH262208 GOD262208 GXZ262208 HHV262208 HRR262208 IBN262208 ILJ262208 IVF262208 JFB262208 JOX262208 JYT262208 KIP262208 KSL262208 LCH262208 LMD262208 LVZ262208 MFV262208 MPR262208 MZN262208 NJJ262208 NTF262208 ODB262208 OMX262208 OWT262208 PGP262208 PQL262208 QAH262208 QKD262208 QTZ262208 RDV262208 RNR262208 RXN262208 SHJ262208 SRF262208 TBB262208 TKX262208 TUT262208 UEP262208 UOL262208 UYH262208 VID262208 VRZ262208 WBV262208 WLR262208 WVN262208 F327744 JB327744 SX327744 ACT327744 AMP327744 AWL327744 BGH327744 BQD327744 BZZ327744 CJV327744 CTR327744 DDN327744 DNJ327744 DXF327744 EHB327744 EQX327744 FAT327744 FKP327744 FUL327744 GEH327744 GOD327744 GXZ327744 HHV327744 HRR327744 IBN327744 ILJ327744 IVF327744 JFB327744 JOX327744 JYT327744 KIP327744 KSL327744 LCH327744 LMD327744 LVZ327744 MFV327744 MPR327744 MZN327744 NJJ327744 NTF327744 ODB327744 OMX327744 OWT327744 PGP327744 PQL327744 QAH327744 QKD327744 QTZ327744 RDV327744 RNR327744 RXN327744 SHJ327744 SRF327744 TBB327744 TKX327744 TUT327744 UEP327744 UOL327744 UYH327744 VID327744 VRZ327744 WBV327744 WLR327744 WVN327744 F393280 JB393280 SX393280 ACT393280 AMP393280 AWL393280 BGH393280 BQD393280 BZZ393280 CJV393280 CTR393280 DDN393280 DNJ393280 DXF393280 EHB393280 EQX393280 FAT393280 FKP393280 FUL393280 GEH393280 GOD393280 GXZ393280 HHV393280 HRR393280 IBN393280 ILJ393280 IVF393280 JFB393280 JOX393280 JYT393280 KIP393280 KSL393280 LCH393280 LMD393280 LVZ393280 MFV393280 MPR393280 MZN393280 NJJ393280 NTF393280 ODB393280 OMX393280 OWT393280 PGP393280 PQL393280 QAH393280 QKD393280 QTZ393280 RDV393280 RNR393280 RXN393280 SHJ393280 SRF393280 TBB393280 TKX393280 TUT393280 UEP393280 UOL393280 UYH393280 VID393280 VRZ393280 WBV393280 WLR393280 WVN393280 F458816 JB458816 SX458816 ACT458816 AMP458816 AWL458816 BGH458816 BQD458816 BZZ458816 CJV458816 CTR458816 DDN458816 DNJ458816 DXF458816 EHB458816 EQX458816 FAT458816 FKP458816 FUL458816 GEH458816 GOD458816 GXZ458816 HHV458816 HRR458816 IBN458816 ILJ458816 IVF458816 JFB458816 JOX458816 JYT458816 KIP458816 KSL458816 LCH458816 LMD458816 LVZ458816 MFV458816 MPR458816 MZN458816 NJJ458816 NTF458816 ODB458816 OMX458816 OWT458816 PGP458816 PQL458816 QAH458816 QKD458816 QTZ458816 RDV458816 RNR458816 RXN458816 SHJ458816 SRF458816 TBB458816 TKX458816 TUT458816 UEP458816 UOL458816 UYH458816 VID458816 VRZ458816 WBV458816 WLR458816 WVN458816 F524352 JB524352 SX524352 ACT524352 AMP524352 AWL524352 BGH524352 BQD524352 BZZ524352 CJV524352 CTR524352 DDN524352 DNJ524352 DXF524352 EHB524352 EQX524352 FAT524352 FKP524352 FUL524352 GEH524352 GOD524352 GXZ524352 HHV524352 HRR524352 IBN524352 ILJ524352 IVF524352 JFB524352 JOX524352 JYT524352 KIP524352 KSL524352 LCH524352 LMD524352 LVZ524352 MFV524352 MPR524352 MZN524352 NJJ524352 NTF524352 ODB524352 OMX524352 OWT524352 PGP524352 PQL524352 QAH524352 QKD524352 QTZ524352 RDV524352 RNR524352 RXN524352 SHJ524352 SRF524352 TBB524352 TKX524352 TUT524352 UEP524352 UOL524352 UYH524352 VID524352 VRZ524352 WBV524352 WLR524352 WVN524352 F589888 JB589888 SX589888 ACT589888 AMP589888 AWL589888 BGH589888 BQD589888 BZZ589888 CJV589888 CTR589888 DDN589888 DNJ589888 DXF589888 EHB589888 EQX589888 FAT589888 FKP589888 FUL589888 GEH589888 GOD589888 GXZ589888 HHV589888 HRR589888 IBN589888 ILJ589888 IVF589888 JFB589888 JOX589888 JYT589888 KIP589888 KSL589888 LCH589888 LMD589888 LVZ589888 MFV589888 MPR589888 MZN589888 NJJ589888 NTF589888 ODB589888 OMX589888 OWT589888 PGP589888 PQL589888 QAH589888 QKD589888 QTZ589888 RDV589888 RNR589888 RXN589888 SHJ589888 SRF589888 TBB589888 TKX589888 TUT589888 UEP589888 UOL589888 UYH589888 VID589888 VRZ589888 WBV589888 WLR589888 WVN589888 F655424 JB655424 SX655424 ACT655424 AMP655424 AWL655424 BGH655424 BQD655424 BZZ655424 CJV655424 CTR655424 DDN655424 DNJ655424 DXF655424 EHB655424 EQX655424 FAT655424 FKP655424 FUL655424 GEH655424 GOD655424 GXZ655424 HHV655424 HRR655424 IBN655424 ILJ655424 IVF655424 JFB655424 JOX655424 JYT655424 KIP655424 KSL655424 LCH655424 LMD655424 LVZ655424 MFV655424 MPR655424 MZN655424 NJJ655424 NTF655424 ODB655424 OMX655424 OWT655424 PGP655424 PQL655424 QAH655424 QKD655424 QTZ655424 RDV655424 RNR655424 RXN655424 SHJ655424 SRF655424 TBB655424 TKX655424 TUT655424 UEP655424 UOL655424 UYH655424 VID655424 VRZ655424 WBV655424 WLR655424 WVN655424 F720960 JB720960 SX720960 ACT720960 AMP720960 AWL720960 BGH720960 BQD720960 BZZ720960 CJV720960 CTR720960 DDN720960 DNJ720960 DXF720960 EHB720960 EQX720960 FAT720960 FKP720960 FUL720960 GEH720960 GOD720960 GXZ720960 HHV720960 HRR720960 IBN720960 ILJ720960 IVF720960 JFB720960 JOX720960 JYT720960 KIP720960 KSL720960 LCH720960 LMD720960 LVZ720960 MFV720960 MPR720960 MZN720960 NJJ720960 NTF720960 ODB720960 OMX720960 OWT720960 PGP720960 PQL720960 QAH720960 QKD720960 QTZ720960 RDV720960 RNR720960 RXN720960 SHJ720960 SRF720960 TBB720960 TKX720960 TUT720960 UEP720960 UOL720960 UYH720960 VID720960 VRZ720960 WBV720960 WLR720960 WVN720960 F786496 JB786496 SX786496 ACT786496 AMP786496 AWL786496 BGH786496 BQD786496 BZZ786496 CJV786496 CTR786496 DDN786496 DNJ786496 DXF786496 EHB786496 EQX786496 FAT786496 FKP786496 FUL786496 GEH786496 GOD786496 GXZ786496 HHV786496 HRR786496 IBN786496 ILJ786496 IVF786496 JFB786496 JOX786496 JYT786496 KIP786496 KSL786496 LCH786496 LMD786496 LVZ786496 MFV786496 MPR786496 MZN786496 NJJ786496 NTF786496 ODB786496 OMX786496 OWT786496 PGP786496 PQL786496 QAH786496 QKD786496 QTZ786496 RDV786496 RNR786496 RXN786496 SHJ786496 SRF786496 TBB786496 TKX786496 TUT786496 UEP786496 UOL786496 UYH786496 VID786496 VRZ786496 WBV786496 WLR786496 WVN786496 F852032 JB852032 SX852032 ACT852032 AMP852032 AWL852032 BGH852032 BQD852032 BZZ852032 CJV852032 CTR852032 DDN852032 DNJ852032 DXF852032 EHB852032 EQX852032 FAT852032 FKP852032 FUL852032 GEH852032 GOD852032 GXZ852032 HHV852032 HRR852032 IBN852032 ILJ852032 IVF852032 JFB852032 JOX852032 JYT852032 KIP852032 KSL852032 LCH852032 LMD852032 LVZ852032 MFV852032 MPR852032 MZN852032 NJJ852032 NTF852032 ODB852032 OMX852032 OWT852032 PGP852032 PQL852032 QAH852032 QKD852032 QTZ852032 RDV852032 RNR852032 RXN852032 SHJ852032 SRF852032 TBB852032 TKX852032 TUT852032 UEP852032 UOL852032 UYH852032 VID852032 VRZ852032 WBV852032 WLR852032 WVN852032 F917568 JB917568 SX917568 ACT917568 AMP917568 AWL917568 BGH917568 BQD917568 BZZ917568 CJV917568 CTR917568 DDN917568 DNJ917568 DXF917568 EHB917568 EQX917568 FAT917568 FKP917568 FUL917568 GEH917568 GOD917568 GXZ917568 HHV917568 HRR917568 IBN917568 ILJ917568 IVF917568 JFB917568 JOX917568 JYT917568 KIP917568 KSL917568 LCH917568 LMD917568 LVZ917568 MFV917568 MPR917568 MZN917568 NJJ917568 NTF917568 ODB917568 OMX917568 OWT917568 PGP917568 PQL917568 QAH917568 QKD917568 QTZ917568 RDV917568 RNR917568 RXN917568 SHJ917568 SRF917568 TBB917568 TKX917568 TUT917568 UEP917568 UOL917568 UYH917568 VID917568 VRZ917568 WBV917568 WLR917568 WVN917568 F983104 JB983104 SX983104 ACT983104 AMP983104 AWL983104 BGH983104 BQD983104 BZZ983104 CJV983104 CTR983104 DDN983104 DNJ983104 DXF983104 EHB983104 EQX983104 FAT983104 FKP983104 FUL983104 GEH983104 GOD983104 GXZ983104 HHV983104 HRR983104 IBN983104 ILJ983104 IVF983104 JFB983104 JOX983104 JYT983104 KIP983104 KSL983104 LCH983104 LMD983104 LVZ983104 MFV983104 MPR983104 MZN983104 NJJ983104 NTF983104 ODB983104 OMX983104 OWT983104 PGP983104 PQL983104 QAH983104 QKD983104 QTZ983104 RDV983104 RNR983104 RXN983104 SHJ983104 SRF983104 TBB983104 TKX983104 TUT983104 UEP983104 UOL983104 UYH983104 VID983104 VRZ983104 WBV983104 WLR983104 WVN983104 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600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P131136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P196672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P262208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P327744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P393280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P458816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P524352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P589888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P655424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P720960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P786496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P852032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P917568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P983104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600 JQ65600 TM65600 ADI65600 ANE65600 AXA65600 BGW65600 BQS65600 CAO65600 CKK65600 CUG65600 DEC65600 DNY65600 DXU65600 EHQ65600 ERM65600 FBI65600 FLE65600 FVA65600 GEW65600 GOS65600 GYO65600 HIK65600 HSG65600 ICC65600 ILY65600 IVU65600 JFQ65600 JPM65600 JZI65600 KJE65600 KTA65600 LCW65600 LMS65600 LWO65600 MGK65600 MQG65600 NAC65600 NJY65600 NTU65600 ODQ65600 ONM65600 OXI65600 PHE65600 PRA65600 QAW65600 QKS65600 QUO65600 REK65600 ROG65600 RYC65600 SHY65600 SRU65600 TBQ65600 TLM65600 TVI65600 UFE65600 UPA65600 UYW65600 VIS65600 VSO65600 WCK65600 WMG65600 WWC65600 U131136 JQ131136 TM131136 ADI131136 ANE131136 AXA131136 BGW131136 BQS131136 CAO131136 CKK131136 CUG131136 DEC131136 DNY131136 DXU131136 EHQ131136 ERM131136 FBI131136 FLE131136 FVA131136 GEW131136 GOS131136 GYO131136 HIK131136 HSG131136 ICC131136 ILY131136 IVU131136 JFQ131136 JPM131136 JZI131136 KJE131136 KTA131136 LCW131136 LMS131136 LWO131136 MGK131136 MQG131136 NAC131136 NJY131136 NTU131136 ODQ131136 ONM131136 OXI131136 PHE131136 PRA131136 QAW131136 QKS131136 QUO131136 REK131136 ROG131136 RYC131136 SHY131136 SRU131136 TBQ131136 TLM131136 TVI131136 UFE131136 UPA131136 UYW131136 VIS131136 VSO131136 WCK131136 WMG131136 WWC131136 U196672 JQ196672 TM196672 ADI196672 ANE196672 AXA196672 BGW196672 BQS196672 CAO196672 CKK196672 CUG196672 DEC196672 DNY196672 DXU196672 EHQ196672 ERM196672 FBI196672 FLE196672 FVA196672 GEW196672 GOS196672 GYO196672 HIK196672 HSG196672 ICC196672 ILY196672 IVU196672 JFQ196672 JPM196672 JZI196672 KJE196672 KTA196672 LCW196672 LMS196672 LWO196672 MGK196672 MQG196672 NAC196672 NJY196672 NTU196672 ODQ196672 ONM196672 OXI196672 PHE196672 PRA196672 QAW196672 QKS196672 QUO196672 REK196672 ROG196672 RYC196672 SHY196672 SRU196672 TBQ196672 TLM196672 TVI196672 UFE196672 UPA196672 UYW196672 VIS196672 VSO196672 WCK196672 WMG196672 WWC196672 U262208 JQ262208 TM262208 ADI262208 ANE262208 AXA262208 BGW262208 BQS262208 CAO262208 CKK262208 CUG262208 DEC262208 DNY262208 DXU262208 EHQ262208 ERM262208 FBI262208 FLE262208 FVA262208 GEW262208 GOS262208 GYO262208 HIK262208 HSG262208 ICC262208 ILY262208 IVU262208 JFQ262208 JPM262208 JZI262208 KJE262208 KTA262208 LCW262208 LMS262208 LWO262208 MGK262208 MQG262208 NAC262208 NJY262208 NTU262208 ODQ262208 ONM262208 OXI262208 PHE262208 PRA262208 QAW262208 QKS262208 QUO262208 REK262208 ROG262208 RYC262208 SHY262208 SRU262208 TBQ262208 TLM262208 TVI262208 UFE262208 UPA262208 UYW262208 VIS262208 VSO262208 WCK262208 WMG262208 WWC262208 U327744 JQ327744 TM327744 ADI327744 ANE327744 AXA327744 BGW327744 BQS327744 CAO327744 CKK327744 CUG327744 DEC327744 DNY327744 DXU327744 EHQ327744 ERM327744 FBI327744 FLE327744 FVA327744 GEW327744 GOS327744 GYO327744 HIK327744 HSG327744 ICC327744 ILY327744 IVU327744 JFQ327744 JPM327744 JZI327744 KJE327744 KTA327744 LCW327744 LMS327744 LWO327744 MGK327744 MQG327744 NAC327744 NJY327744 NTU327744 ODQ327744 ONM327744 OXI327744 PHE327744 PRA327744 QAW327744 QKS327744 QUO327744 REK327744 ROG327744 RYC327744 SHY327744 SRU327744 TBQ327744 TLM327744 TVI327744 UFE327744 UPA327744 UYW327744 VIS327744 VSO327744 WCK327744 WMG327744 WWC327744 U393280 JQ393280 TM393280 ADI393280 ANE393280 AXA393280 BGW393280 BQS393280 CAO393280 CKK393280 CUG393280 DEC393280 DNY393280 DXU393280 EHQ393280 ERM393280 FBI393280 FLE393280 FVA393280 GEW393280 GOS393280 GYO393280 HIK393280 HSG393280 ICC393280 ILY393280 IVU393280 JFQ393280 JPM393280 JZI393280 KJE393280 KTA393280 LCW393280 LMS393280 LWO393280 MGK393280 MQG393280 NAC393280 NJY393280 NTU393280 ODQ393280 ONM393280 OXI393280 PHE393280 PRA393280 QAW393280 QKS393280 QUO393280 REK393280 ROG393280 RYC393280 SHY393280 SRU393280 TBQ393280 TLM393280 TVI393280 UFE393280 UPA393280 UYW393280 VIS393280 VSO393280 WCK393280 WMG393280 WWC393280 U458816 JQ458816 TM458816 ADI458816 ANE458816 AXA458816 BGW458816 BQS458816 CAO458816 CKK458816 CUG458816 DEC458816 DNY458816 DXU458816 EHQ458816 ERM458816 FBI458816 FLE458816 FVA458816 GEW458816 GOS458816 GYO458816 HIK458816 HSG458816 ICC458816 ILY458816 IVU458816 JFQ458816 JPM458816 JZI458816 KJE458816 KTA458816 LCW458816 LMS458816 LWO458816 MGK458816 MQG458816 NAC458816 NJY458816 NTU458816 ODQ458816 ONM458816 OXI458816 PHE458816 PRA458816 QAW458816 QKS458816 QUO458816 REK458816 ROG458816 RYC458816 SHY458816 SRU458816 TBQ458816 TLM458816 TVI458816 UFE458816 UPA458816 UYW458816 VIS458816 VSO458816 WCK458816 WMG458816 WWC458816 U524352 JQ524352 TM524352 ADI524352 ANE524352 AXA524352 BGW524352 BQS524352 CAO524352 CKK524352 CUG524352 DEC524352 DNY524352 DXU524352 EHQ524352 ERM524352 FBI524352 FLE524352 FVA524352 GEW524352 GOS524352 GYO524352 HIK524352 HSG524352 ICC524352 ILY524352 IVU524352 JFQ524352 JPM524352 JZI524352 KJE524352 KTA524352 LCW524352 LMS524352 LWO524352 MGK524352 MQG524352 NAC524352 NJY524352 NTU524352 ODQ524352 ONM524352 OXI524352 PHE524352 PRA524352 QAW524352 QKS524352 QUO524352 REK524352 ROG524352 RYC524352 SHY524352 SRU524352 TBQ524352 TLM524352 TVI524352 UFE524352 UPA524352 UYW524352 VIS524352 VSO524352 WCK524352 WMG524352 WWC524352 U589888 JQ589888 TM589888 ADI589888 ANE589888 AXA589888 BGW589888 BQS589888 CAO589888 CKK589888 CUG589888 DEC589888 DNY589888 DXU589888 EHQ589888 ERM589888 FBI589888 FLE589888 FVA589888 GEW589888 GOS589888 GYO589888 HIK589888 HSG589888 ICC589888 ILY589888 IVU589888 JFQ589888 JPM589888 JZI589888 KJE589888 KTA589888 LCW589888 LMS589888 LWO589888 MGK589888 MQG589888 NAC589888 NJY589888 NTU589888 ODQ589888 ONM589888 OXI589888 PHE589888 PRA589888 QAW589888 QKS589888 QUO589888 REK589888 ROG589888 RYC589888 SHY589888 SRU589888 TBQ589888 TLM589888 TVI589888 UFE589888 UPA589888 UYW589888 VIS589888 VSO589888 WCK589888 WMG589888 WWC589888 U655424 JQ655424 TM655424 ADI655424 ANE655424 AXA655424 BGW655424 BQS655424 CAO655424 CKK655424 CUG655424 DEC655424 DNY655424 DXU655424 EHQ655424 ERM655424 FBI655424 FLE655424 FVA655424 GEW655424 GOS655424 GYO655424 HIK655424 HSG655424 ICC655424 ILY655424 IVU655424 JFQ655424 JPM655424 JZI655424 KJE655424 KTA655424 LCW655424 LMS655424 LWO655424 MGK655424 MQG655424 NAC655424 NJY655424 NTU655424 ODQ655424 ONM655424 OXI655424 PHE655424 PRA655424 QAW655424 QKS655424 QUO655424 REK655424 ROG655424 RYC655424 SHY655424 SRU655424 TBQ655424 TLM655424 TVI655424 UFE655424 UPA655424 UYW655424 VIS655424 VSO655424 WCK655424 WMG655424 WWC655424 U720960 JQ720960 TM720960 ADI720960 ANE720960 AXA720960 BGW720960 BQS720960 CAO720960 CKK720960 CUG720960 DEC720960 DNY720960 DXU720960 EHQ720960 ERM720960 FBI720960 FLE720960 FVA720960 GEW720960 GOS720960 GYO720960 HIK720960 HSG720960 ICC720960 ILY720960 IVU720960 JFQ720960 JPM720960 JZI720960 KJE720960 KTA720960 LCW720960 LMS720960 LWO720960 MGK720960 MQG720960 NAC720960 NJY720960 NTU720960 ODQ720960 ONM720960 OXI720960 PHE720960 PRA720960 QAW720960 QKS720960 QUO720960 REK720960 ROG720960 RYC720960 SHY720960 SRU720960 TBQ720960 TLM720960 TVI720960 UFE720960 UPA720960 UYW720960 VIS720960 VSO720960 WCK720960 WMG720960 WWC720960 U786496 JQ786496 TM786496 ADI786496 ANE786496 AXA786496 BGW786496 BQS786496 CAO786496 CKK786496 CUG786496 DEC786496 DNY786496 DXU786496 EHQ786496 ERM786496 FBI786496 FLE786496 FVA786496 GEW786496 GOS786496 GYO786496 HIK786496 HSG786496 ICC786496 ILY786496 IVU786496 JFQ786496 JPM786496 JZI786496 KJE786496 KTA786496 LCW786496 LMS786496 LWO786496 MGK786496 MQG786496 NAC786496 NJY786496 NTU786496 ODQ786496 ONM786496 OXI786496 PHE786496 PRA786496 QAW786496 QKS786496 QUO786496 REK786496 ROG786496 RYC786496 SHY786496 SRU786496 TBQ786496 TLM786496 TVI786496 UFE786496 UPA786496 UYW786496 VIS786496 VSO786496 WCK786496 WMG786496 WWC786496 U852032 JQ852032 TM852032 ADI852032 ANE852032 AXA852032 BGW852032 BQS852032 CAO852032 CKK852032 CUG852032 DEC852032 DNY852032 DXU852032 EHQ852032 ERM852032 FBI852032 FLE852032 FVA852032 GEW852032 GOS852032 GYO852032 HIK852032 HSG852032 ICC852032 ILY852032 IVU852032 JFQ852032 JPM852032 JZI852032 KJE852032 KTA852032 LCW852032 LMS852032 LWO852032 MGK852032 MQG852032 NAC852032 NJY852032 NTU852032 ODQ852032 ONM852032 OXI852032 PHE852032 PRA852032 QAW852032 QKS852032 QUO852032 REK852032 ROG852032 RYC852032 SHY852032 SRU852032 TBQ852032 TLM852032 TVI852032 UFE852032 UPA852032 UYW852032 VIS852032 VSO852032 WCK852032 WMG852032 WWC852032 U917568 JQ917568 TM917568 ADI917568 ANE917568 AXA917568 BGW917568 BQS917568 CAO917568 CKK917568 CUG917568 DEC917568 DNY917568 DXU917568 EHQ917568 ERM917568 FBI917568 FLE917568 FVA917568 GEW917568 GOS917568 GYO917568 HIK917568 HSG917568 ICC917568 ILY917568 IVU917568 JFQ917568 JPM917568 JZI917568 KJE917568 KTA917568 LCW917568 LMS917568 LWO917568 MGK917568 MQG917568 NAC917568 NJY917568 NTU917568 ODQ917568 ONM917568 OXI917568 PHE917568 PRA917568 QAW917568 QKS917568 QUO917568 REK917568 ROG917568 RYC917568 SHY917568 SRU917568 TBQ917568 TLM917568 TVI917568 UFE917568 UPA917568 UYW917568 VIS917568 VSO917568 WCK917568 WMG917568 WWC917568 U983104 JQ983104 TM983104 ADI983104 ANE983104 AXA983104 BGW983104 BQS983104 CAO983104 CKK983104 CUG983104 DEC983104 DNY983104 DXU983104 EHQ983104 ERM983104 FBI983104 FLE983104 FVA983104 GEW983104 GOS983104 GYO983104 HIK983104 HSG983104 ICC983104 ILY983104 IVU983104 JFQ983104 JPM983104 JZI983104 KJE983104 KTA983104 LCW983104 LMS983104 LWO983104 MGK983104 MQG983104 NAC983104 NJY983104 NTU983104 ODQ983104 ONM983104 OXI983104 PHE983104 PRA983104 QAW983104 QKS983104 QUO983104 REK983104 ROG983104 RYC983104 SHY983104 SRU983104 TBQ983104 TLM983104 TVI983104 UFE983104 UPA983104 UYW983104 VIS983104 VSO983104 WCK983104 WMG983104 WWC983104" xr:uid="{CFFA265D-4392-4F98-97C5-B1513DC93298}"/>
    <dataValidation type="list" allowBlank="1" showInputMessage="1" showErrorMessage="1" sqref="O62:P62 O113:P113" xr:uid="{18016498-6553-427A-9F21-9820ED4FC51E}">
      <formula1>工事届用主要用途</formula1>
    </dataValidation>
    <dataValidation type="list" allowBlank="1" showInputMessage="1" showErrorMessage="1" sqref="O63:P64 O114:P115" xr:uid="{D92C0307-00F9-4563-8717-E681DE6E4994}">
      <formula1>工事届用主要用途2</formula1>
    </dataValidation>
  </dataValidations>
  <printOptions horizontalCentered="1"/>
  <pageMargins left="0.78740157480314965" right="0.78740157480314965" top="0.51181102362204722" bottom="0.51181102362204722" header="0.51181102362204722" footer="0.51181102362204722"/>
  <pageSetup paperSize="9" scale="99" fitToHeight="4" orientation="portrait" blackAndWhite="1" horizontalDpi="300" verticalDpi="300"/>
  <headerFooter alignWithMargins="0"/>
  <rowBreaks count="3" manualBreakCount="3">
    <brk id="43" max="1048575" man="1"/>
    <brk id="96" max="1048575" man="1"/>
    <brk id="111" max="1048575" man="1"/>
  </rowBreaks>
  <legacyDrawing r:id="rId1"/>
  <extLst>
    <ext xmlns:x14="http://schemas.microsoft.com/office/spreadsheetml/2009/9/main" uri="{CCE6A557-97BC-4b89-ADB6-D9C93CAAB3DF}">
      <x14:dataValidations xmlns:xm="http://schemas.microsoft.com/office/excel/2006/main" count="1">
        <x14:dataValidation type="list" showInputMessage="1" showErrorMessage="1" xr:uid="{39C960ED-97F8-4DC8-8C9C-7DD21919F218}">
          <x14:formula1>
            <xm:f>"　,○"</xm:f>
          </x14:formula1>
          <xm:sqref>SRG983143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H65607:H65608 JD65607:JD65608 SZ65607:SZ65608 ACV65607:ACV65608 AMR65607:AMR65608 AWN65607:AWN65608 BGJ65607:BGJ65608 BQF65607:BQF65608 CAB65607:CAB65608 CJX65607:CJX65608 CTT65607:CTT65608 DDP65607:DDP65608 DNL65607:DNL65608 DXH65607:DXH65608 EHD65607:EHD65608 EQZ65607:EQZ65608 FAV65607:FAV65608 FKR65607:FKR65608 FUN65607:FUN65608 GEJ65607:GEJ65608 GOF65607:GOF65608 GYB65607:GYB65608 HHX65607:HHX65608 HRT65607:HRT65608 IBP65607:IBP65608 ILL65607:ILL65608 IVH65607:IVH65608 JFD65607:JFD65608 JOZ65607:JOZ65608 JYV65607:JYV65608 KIR65607:KIR65608 KSN65607:KSN65608 LCJ65607:LCJ65608 LMF65607:LMF65608 LWB65607:LWB65608 MFX65607:MFX65608 MPT65607:MPT65608 MZP65607:MZP65608 NJL65607:NJL65608 NTH65607:NTH65608 ODD65607:ODD65608 OMZ65607:OMZ65608 OWV65607:OWV65608 PGR65607:PGR65608 PQN65607:PQN65608 QAJ65607:QAJ65608 QKF65607:QKF65608 QUB65607:QUB65608 RDX65607:RDX65608 RNT65607:RNT65608 RXP65607:RXP65608 SHL65607:SHL65608 SRH65607:SRH65608 TBD65607:TBD65608 TKZ65607:TKZ65608 TUV65607:TUV65608 UER65607:UER65608 UON65607:UON65608 UYJ65607:UYJ65608 VIF65607:VIF65608 VSB65607:VSB65608 WBX65607:WBX65608 WLT65607:WLT65608 WVP65607:WVP65608 H131143:H131144 JD131143:JD131144 SZ131143:SZ131144 ACV131143:ACV131144 AMR131143:AMR131144 AWN131143:AWN131144 BGJ131143:BGJ131144 BQF131143:BQF131144 CAB131143:CAB131144 CJX131143:CJX131144 CTT131143:CTT131144 DDP131143:DDP131144 DNL131143:DNL131144 DXH131143:DXH131144 EHD131143:EHD131144 EQZ131143:EQZ131144 FAV131143:FAV131144 FKR131143:FKR131144 FUN131143:FUN131144 GEJ131143:GEJ131144 GOF131143:GOF131144 GYB131143:GYB131144 HHX131143:HHX131144 HRT131143:HRT131144 IBP131143:IBP131144 ILL131143:ILL131144 IVH131143:IVH131144 JFD131143:JFD131144 JOZ131143:JOZ131144 JYV131143:JYV131144 KIR131143:KIR131144 KSN131143:KSN131144 LCJ131143:LCJ131144 LMF131143:LMF131144 LWB131143:LWB131144 MFX131143:MFX131144 MPT131143:MPT131144 MZP131143:MZP131144 NJL131143:NJL131144 NTH131143:NTH131144 ODD131143:ODD131144 OMZ131143:OMZ131144 OWV131143:OWV131144 PGR131143:PGR131144 PQN131143:PQN131144 QAJ131143:QAJ131144 QKF131143:QKF131144 QUB131143:QUB131144 RDX131143:RDX131144 RNT131143:RNT131144 RXP131143:RXP131144 SHL131143:SHL131144 SRH131143:SRH131144 TBD131143:TBD131144 TKZ131143:TKZ131144 TUV131143:TUV131144 UER131143:UER131144 UON131143:UON131144 UYJ131143:UYJ131144 VIF131143:VIF131144 VSB131143:VSB131144 WBX131143:WBX131144 WLT131143:WLT131144 WVP131143:WVP131144 H196679:H196680 JD196679:JD196680 SZ196679:SZ196680 ACV196679:ACV196680 AMR196679:AMR196680 AWN196679:AWN196680 BGJ196679:BGJ196680 BQF196679:BQF196680 CAB196679:CAB196680 CJX196679:CJX196680 CTT196679:CTT196680 DDP196679:DDP196680 DNL196679:DNL196680 DXH196679:DXH196680 EHD196679:EHD196680 EQZ196679:EQZ196680 FAV196679:FAV196680 FKR196679:FKR196680 FUN196679:FUN196680 GEJ196679:GEJ196680 GOF196679:GOF196680 GYB196679:GYB196680 HHX196679:HHX196680 HRT196679:HRT196680 IBP196679:IBP196680 ILL196679:ILL196680 IVH196679:IVH196680 JFD196679:JFD196680 JOZ196679:JOZ196680 JYV196679:JYV196680 KIR196679:KIR196680 KSN196679:KSN196680 LCJ196679:LCJ196680 LMF196679:LMF196680 LWB196679:LWB196680 MFX196679:MFX196680 MPT196679:MPT196680 MZP196679:MZP196680 NJL196679:NJL196680 NTH196679:NTH196680 ODD196679:ODD196680 OMZ196679:OMZ196680 OWV196679:OWV196680 PGR196679:PGR196680 PQN196679:PQN196680 QAJ196679:QAJ196680 QKF196679:QKF196680 QUB196679:QUB196680 RDX196679:RDX196680 RNT196679:RNT196680 RXP196679:RXP196680 SHL196679:SHL196680 SRH196679:SRH196680 TBD196679:TBD196680 TKZ196679:TKZ196680 TUV196679:TUV196680 UER196679:UER196680 UON196679:UON196680 UYJ196679:UYJ196680 VIF196679:VIF196680 VSB196679:VSB196680 WBX196679:WBX196680 WLT196679:WLT196680 WVP196679:WVP196680 H262215:H262216 JD262215:JD262216 SZ262215:SZ262216 ACV262215:ACV262216 AMR262215:AMR262216 AWN262215:AWN262216 BGJ262215:BGJ262216 BQF262215:BQF262216 CAB262215:CAB262216 CJX262215:CJX262216 CTT262215:CTT262216 DDP262215:DDP262216 DNL262215:DNL262216 DXH262215:DXH262216 EHD262215:EHD262216 EQZ262215:EQZ262216 FAV262215:FAV262216 FKR262215:FKR262216 FUN262215:FUN262216 GEJ262215:GEJ262216 GOF262215:GOF262216 GYB262215:GYB262216 HHX262215:HHX262216 HRT262215:HRT262216 IBP262215:IBP262216 ILL262215:ILL262216 IVH262215:IVH262216 JFD262215:JFD262216 JOZ262215:JOZ262216 JYV262215:JYV262216 KIR262215:KIR262216 KSN262215:KSN262216 LCJ262215:LCJ262216 LMF262215:LMF262216 LWB262215:LWB262216 MFX262215:MFX262216 MPT262215:MPT262216 MZP262215:MZP262216 NJL262215:NJL262216 NTH262215:NTH262216 ODD262215:ODD262216 OMZ262215:OMZ262216 OWV262215:OWV262216 PGR262215:PGR262216 PQN262215:PQN262216 QAJ262215:QAJ262216 QKF262215:QKF262216 QUB262215:QUB262216 RDX262215:RDX262216 RNT262215:RNT262216 RXP262215:RXP262216 SHL262215:SHL262216 SRH262215:SRH262216 TBD262215:TBD262216 TKZ262215:TKZ262216 TUV262215:TUV262216 UER262215:UER262216 UON262215:UON262216 UYJ262215:UYJ262216 VIF262215:VIF262216 VSB262215:VSB262216 WBX262215:WBX262216 WLT262215:WLT262216 WVP262215:WVP262216 H327751:H327752 JD327751:JD327752 SZ327751:SZ327752 ACV327751:ACV327752 AMR327751:AMR327752 AWN327751:AWN327752 BGJ327751:BGJ327752 BQF327751:BQF327752 CAB327751:CAB327752 CJX327751:CJX327752 CTT327751:CTT327752 DDP327751:DDP327752 DNL327751:DNL327752 DXH327751:DXH327752 EHD327751:EHD327752 EQZ327751:EQZ327752 FAV327751:FAV327752 FKR327751:FKR327752 FUN327751:FUN327752 GEJ327751:GEJ327752 GOF327751:GOF327752 GYB327751:GYB327752 HHX327751:HHX327752 HRT327751:HRT327752 IBP327751:IBP327752 ILL327751:ILL327752 IVH327751:IVH327752 JFD327751:JFD327752 JOZ327751:JOZ327752 JYV327751:JYV327752 KIR327751:KIR327752 KSN327751:KSN327752 LCJ327751:LCJ327752 LMF327751:LMF327752 LWB327751:LWB327752 MFX327751:MFX327752 MPT327751:MPT327752 MZP327751:MZP327752 NJL327751:NJL327752 NTH327751:NTH327752 ODD327751:ODD327752 OMZ327751:OMZ327752 OWV327751:OWV327752 PGR327751:PGR327752 PQN327751:PQN327752 QAJ327751:QAJ327752 QKF327751:QKF327752 QUB327751:QUB327752 RDX327751:RDX327752 RNT327751:RNT327752 RXP327751:RXP327752 SHL327751:SHL327752 SRH327751:SRH327752 TBD327751:TBD327752 TKZ327751:TKZ327752 TUV327751:TUV327752 UER327751:UER327752 UON327751:UON327752 UYJ327751:UYJ327752 VIF327751:VIF327752 VSB327751:VSB327752 WBX327751:WBX327752 WLT327751:WLT327752 WVP327751:WVP327752 H393287:H393288 JD393287:JD393288 SZ393287:SZ393288 ACV393287:ACV393288 AMR393287:AMR393288 AWN393287:AWN393288 BGJ393287:BGJ393288 BQF393287:BQF393288 CAB393287:CAB393288 CJX393287:CJX393288 CTT393287:CTT393288 DDP393287:DDP393288 DNL393287:DNL393288 DXH393287:DXH393288 EHD393287:EHD393288 EQZ393287:EQZ393288 FAV393287:FAV393288 FKR393287:FKR393288 FUN393287:FUN393288 GEJ393287:GEJ393288 GOF393287:GOF393288 GYB393287:GYB393288 HHX393287:HHX393288 HRT393287:HRT393288 IBP393287:IBP393288 ILL393287:ILL393288 IVH393287:IVH393288 JFD393287:JFD393288 JOZ393287:JOZ393288 JYV393287:JYV393288 KIR393287:KIR393288 KSN393287:KSN393288 LCJ393287:LCJ393288 LMF393287:LMF393288 LWB393287:LWB393288 MFX393287:MFX393288 MPT393287:MPT393288 MZP393287:MZP393288 NJL393287:NJL393288 NTH393287:NTH393288 ODD393287:ODD393288 OMZ393287:OMZ393288 OWV393287:OWV393288 PGR393287:PGR393288 PQN393287:PQN393288 QAJ393287:QAJ393288 QKF393287:QKF393288 QUB393287:QUB393288 RDX393287:RDX393288 RNT393287:RNT393288 RXP393287:RXP393288 SHL393287:SHL393288 SRH393287:SRH393288 TBD393287:TBD393288 TKZ393287:TKZ393288 TUV393287:TUV393288 UER393287:UER393288 UON393287:UON393288 UYJ393287:UYJ393288 VIF393287:VIF393288 VSB393287:VSB393288 WBX393287:WBX393288 WLT393287:WLT393288 WVP393287:WVP393288 H458823:H458824 JD458823:JD458824 SZ458823:SZ458824 ACV458823:ACV458824 AMR458823:AMR458824 AWN458823:AWN458824 BGJ458823:BGJ458824 BQF458823:BQF458824 CAB458823:CAB458824 CJX458823:CJX458824 CTT458823:CTT458824 DDP458823:DDP458824 DNL458823:DNL458824 DXH458823:DXH458824 EHD458823:EHD458824 EQZ458823:EQZ458824 FAV458823:FAV458824 FKR458823:FKR458824 FUN458823:FUN458824 GEJ458823:GEJ458824 GOF458823:GOF458824 GYB458823:GYB458824 HHX458823:HHX458824 HRT458823:HRT458824 IBP458823:IBP458824 ILL458823:ILL458824 IVH458823:IVH458824 JFD458823:JFD458824 JOZ458823:JOZ458824 JYV458823:JYV458824 KIR458823:KIR458824 KSN458823:KSN458824 LCJ458823:LCJ458824 LMF458823:LMF458824 LWB458823:LWB458824 MFX458823:MFX458824 MPT458823:MPT458824 MZP458823:MZP458824 NJL458823:NJL458824 NTH458823:NTH458824 ODD458823:ODD458824 OMZ458823:OMZ458824 OWV458823:OWV458824 PGR458823:PGR458824 PQN458823:PQN458824 QAJ458823:QAJ458824 QKF458823:QKF458824 QUB458823:QUB458824 RDX458823:RDX458824 RNT458823:RNT458824 RXP458823:RXP458824 SHL458823:SHL458824 SRH458823:SRH458824 TBD458823:TBD458824 TKZ458823:TKZ458824 TUV458823:TUV458824 UER458823:UER458824 UON458823:UON458824 UYJ458823:UYJ458824 VIF458823:VIF458824 VSB458823:VSB458824 WBX458823:WBX458824 WLT458823:WLT458824 WVP458823:WVP458824 H524359:H524360 JD524359:JD524360 SZ524359:SZ524360 ACV524359:ACV524360 AMR524359:AMR524360 AWN524359:AWN524360 BGJ524359:BGJ524360 BQF524359:BQF524360 CAB524359:CAB524360 CJX524359:CJX524360 CTT524359:CTT524360 DDP524359:DDP524360 DNL524359:DNL524360 DXH524359:DXH524360 EHD524359:EHD524360 EQZ524359:EQZ524360 FAV524359:FAV524360 FKR524359:FKR524360 FUN524359:FUN524360 GEJ524359:GEJ524360 GOF524359:GOF524360 GYB524359:GYB524360 HHX524359:HHX524360 HRT524359:HRT524360 IBP524359:IBP524360 ILL524359:ILL524360 IVH524359:IVH524360 JFD524359:JFD524360 JOZ524359:JOZ524360 JYV524359:JYV524360 KIR524359:KIR524360 KSN524359:KSN524360 LCJ524359:LCJ524360 LMF524359:LMF524360 LWB524359:LWB524360 MFX524359:MFX524360 MPT524359:MPT524360 MZP524359:MZP524360 NJL524359:NJL524360 NTH524359:NTH524360 ODD524359:ODD524360 OMZ524359:OMZ524360 OWV524359:OWV524360 PGR524359:PGR524360 PQN524359:PQN524360 QAJ524359:QAJ524360 QKF524359:QKF524360 QUB524359:QUB524360 RDX524359:RDX524360 RNT524359:RNT524360 RXP524359:RXP524360 SHL524359:SHL524360 SRH524359:SRH524360 TBD524359:TBD524360 TKZ524359:TKZ524360 TUV524359:TUV524360 UER524359:UER524360 UON524359:UON524360 UYJ524359:UYJ524360 VIF524359:VIF524360 VSB524359:VSB524360 WBX524359:WBX524360 WLT524359:WLT524360 WVP524359:WVP524360 H589895:H589896 JD589895:JD589896 SZ589895:SZ589896 ACV589895:ACV589896 AMR589895:AMR589896 AWN589895:AWN589896 BGJ589895:BGJ589896 BQF589895:BQF589896 CAB589895:CAB589896 CJX589895:CJX589896 CTT589895:CTT589896 DDP589895:DDP589896 DNL589895:DNL589896 DXH589895:DXH589896 EHD589895:EHD589896 EQZ589895:EQZ589896 FAV589895:FAV589896 FKR589895:FKR589896 FUN589895:FUN589896 GEJ589895:GEJ589896 GOF589895:GOF589896 GYB589895:GYB589896 HHX589895:HHX589896 HRT589895:HRT589896 IBP589895:IBP589896 ILL589895:ILL589896 IVH589895:IVH589896 JFD589895:JFD589896 JOZ589895:JOZ589896 JYV589895:JYV589896 KIR589895:KIR589896 KSN589895:KSN589896 LCJ589895:LCJ589896 LMF589895:LMF589896 LWB589895:LWB589896 MFX589895:MFX589896 MPT589895:MPT589896 MZP589895:MZP589896 NJL589895:NJL589896 NTH589895:NTH589896 ODD589895:ODD589896 OMZ589895:OMZ589896 OWV589895:OWV589896 PGR589895:PGR589896 PQN589895:PQN589896 QAJ589895:QAJ589896 QKF589895:QKF589896 QUB589895:QUB589896 RDX589895:RDX589896 RNT589895:RNT589896 RXP589895:RXP589896 SHL589895:SHL589896 SRH589895:SRH589896 TBD589895:TBD589896 TKZ589895:TKZ589896 TUV589895:TUV589896 UER589895:UER589896 UON589895:UON589896 UYJ589895:UYJ589896 VIF589895:VIF589896 VSB589895:VSB589896 WBX589895:WBX589896 WLT589895:WLT589896 WVP589895:WVP589896 H655431:H655432 JD655431:JD655432 SZ655431:SZ655432 ACV655431:ACV655432 AMR655431:AMR655432 AWN655431:AWN655432 BGJ655431:BGJ655432 BQF655431:BQF655432 CAB655431:CAB655432 CJX655431:CJX655432 CTT655431:CTT655432 DDP655431:DDP655432 DNL655431:DNL655432 DXH655431:DXH655432 EHD655431:EHD655432 EQZ655431:EQZ655432 FAV655431:FAV655432 FKR655431:FKR655432 FUN655431:FUN655432 GEJ655431:GEJ655432 GOF655431:GOF655432 GYB655431:GYB655432 HHX655431:HHX655432 HRT655431:HRT655432 IBP655431:IBP655432 ILL655431:ILL655432 IVH655431:IVH655432 JFD655431:JFD655432 JOZ655431:JOZ655432 JYV655431:JYV655432 KIR655431:KIR655432 KSN655431:KSN655432 LCJ655431:LCJ655432 LMF655431:LMF655432 LWB655431:LWB655432 MFX655431:MFX655432 MPT655431:MPT655432 MZP655431:MZP655432 NJL655431:NJL655432 NTH655431:NTH655432 ODD655431:ODD655432 OMZ655431:OMZ655432 OWV655431:OWV655432 PGR655431:PGR655432 PQN655431:PQN655432 QAJ655431:QAJ655432 QKF655431:QKF655432 QUB655431:QUB655432 RDX655431:RDX655432 RNT655431:RNT655432 RXP655431:RXP655432 SHL655431:SHL655432 SRH655431:SRH655432 TBD655431:TBD655432 TKZ655431:TKZ655432 TUV655431:TUV655432 UER655431:UER655432 UON655431:UON655432 UYJ655431:UYJ655432 VIF655431:VIF655432 VSB655431:VSB655432 WBX655431:WBX655432 WLT655431:WLT655432 WVP655431:WVP655432 H720967:H720968 JD720967:JD720968 SZ720967:SZ720968 ACV720967:ACV720968 AMR720967:AMR720968 AWN720967:AWN720968 BGJ720967:BGJ720968 BQF720967:BQF720968 CAB720967:CAB720968 CJX720967:CJX720968 CTT720967:CTT720968 DDP720967:DDP720968 DNL720967:DNL720968 DXH720967:DXH720968 EHD720967:EHD720968 EQZ720967:EQZ720968 FAV720967:FAV720968 FKR720967:FKR720968 FUN720967:FUN720968 GEJ720967:GEJ720968 GOF720967:GOF720968 GYB720967:GYB720968 HHX720967:HHX720968 HRT720967:HRT720968 IBP720967:IBP720968 ILL720967:ILL720968 IVH720967:IVH720968 JFD720967:JFD720968 JOZ720967:JOZ720968 JYV720967:JYV720968 KIR720967:KIR720968 KSN720967:KSN720968 LCJ720967:LCJ720968 LMF720967:LMF720968 LWB720967:LWB720968 MFX720967:MFX720968 MPT720967:MPT720968 MZP720967:MZP720968 NJL720967:NJL720968 NTH720967:NTH720968 ODD720967:ODD720968 OMZ720967:OMZ720968 OWV720967:OWV720968 PGR720967:PGR720968 PQN720967:PQN720968 QAJ720967:QAJ720968 QKF720967:QKF720968 QUB720967:QUB720968 RDX720967:RDX720968 RNT720967:RNT720968 RXP720967:RXP720968 SHL720967:SHL720968 SRH720967:SRH720968 TBD720967:TBD720968 TKZ720967:TKZ720968 TUV720967:TUV720968 UER720967:UER720968 UON720967:UON720968 UYJ720967:UYJ720968 VIF720967:VIF720968 VSB720967:VSB720968 WBX720967:WBX720968 WLT720967:WLT720968 WVP720967:WVP720968 H786503:H786504 JD786503:JD786504 SZ786503:SZ786504 ACV786503:ACV786504 AMR786503:AMR786504 AWN786503:AWN786504 BGJ786503:BGJ786504 BQF786503:BQF786504 CAB786503:CAB786504 CJX786503:CJX786504 CTT786503:CTT786504 DDP786503:DDP786504 DNL786503:DNL786504 DXH786503:DXH786504 EHD786503:EHD786504 EQZ786503:EQZ786504 FAV786503:FAV786504 FKR786503:FKR786504 FUN786503:FUN786504 GEJ786503:GEJ786504 GOF786503:GOF786504 GYB786503:GYB786504 HHX786503:HHX786504 HRT786503:HRT786504 IBP786503:IBP786504 ILL786503:ILL786504 IVH786503:IVH786504 JFD786503:JFD786504 JOZ786503:JOZ786504 JYV786503:JYV786504 KIR786503:KIR786504 KSN786503:KSN786504 LCJ786503:LCJ786504 LMF786503:LMF786504 LWB786503:LWB786504 MFX786503:MFX786504 MPT786503:MPT786504 MZP786503:MZP786504 NJL786503:NJL786504 NTH786503:NTH786504 ODD786503:ODD786504 OMZ786503:OMZ786504 OWV786503:OWV786504 PGR786503:PGR786504 PQN786503:PQN786504 QAJ786503:QAJ786504 QKF786503:QKF786504 QUB786503:QUB786504 RDX786503:RDX786504 RNT786503:RNT786504 RXP786503:RXP786504 SHL786503:SHL786504 SRH786503:SRH786504 TBD786503:TBD786504 TKZ786503:TKZ786504 TUV786503:TUV786504 UER786503:UER786504 UON786503:UON786504 UYJ786503:UYJ786504 VIF786503:VIF786504 VSB786503:VSB786504 WBX786503:WBX786504 WLT786503:WLT786504 WVP786503:WVP786504 H852039:H852040 JD852039:JD852040 SZ852039:SZ852040 ACV852039:ACV852040 AMR852039:AMR852040 AWN852039:AWN852040 BGJ852039:BGJ852040 BQF852039:BQF852040 CAB852039:CAB852040 CJX852039:CJX852040 CTT852039:CTT852040 DDP852039:DDP852040 DNL852039:DNL852040 DXH852039:DXH852040 EHD852039:EHD852040 EQZ852039:EQZ852040 FAV852039:FAV852040 FKR852039:FKR852040 FUN852039:FUN852040 GEJ852039:GEJ852040 GOF852039:GOF852040 GYB852039:GYB852040 HHX852039:HHX852040 HRT852039:HRT852040 IBP852039:IBP852040 ILL852039:ILL852040 IVH852039:IVH852040 JFD852039:JFD852040 JOZ852039:JOZ852040 JYV852039:JYV852040 KIR852039:KIR852040 KSN852039:KSN852040 LCJ852039:LCJ852040 LMF852039:LMF852040 LWB852039:LWB852040 MFX852039:MFX852040 MPT852039:MPT852040 MZP852039:MZP852040 NJL852039:NJL852040 NTH852039:NTH852040 ODD852039:ODD852040 OMZ852039:OMZ852040 OWV852039:OWV852040 PGR852039:PGR852040 PQN852039:PQN852040 QAJ852039:QAJ852040 QKF852039:QKF852040 QUB852039:QUB852040 RDX852039:RDX852040 RNT852039:RNT852040 RXP852039:RXP852040 SHL852039:SHL852040 SRH852039:SRH852040 TBD852039:TBD852040 TKZ852039:TKZ852040 TUV852039:TUV852040 UER852039:UER852040 UON852039:UON852040 UYJ852039:UYJ852040 VIF852039:VIF852040 VSB852039:VSB852040 WBX852039:WBX852040 WLT852039:WLT852040 WVP852039:WVP852040 H917575:H917576 JD917575:JD917576 SZ917575:SZ917576 ACV917575:ACV917576 AMR917575:AMR917576 AWN917575:AWN917576 BGJ917575:BGJ917576 BQF917575:BQF917576 CAB917575:CAB917576 CJX917575:CJX917576 CTT917575:CTT917576 DDP917575:DDP917576 DNL917575:DNL917576 DXH917575:DXH917576 EHD917575:EHD917576 EQZ917575:EQZ917576 FAV917575:FAV917576 FKR917575:FKR917576 FUN917575:FUN917576 GEJ917575:GEJ917576 GOF917575:GOF917576 GYB917575:GYB917576 HHX917575:HHX917576 HRT917575:HRT917576 IBP917575:IBP917576 ILL917575:ILL917576 IVH917575:IVH917576 JFD917575:JFD917576 JOZ917575:JOZ917576 JYV917575:JYV917576 KIR917575:KIR917576 KSN917575:KSN917576 LCJ917575:LCJ917576 LMF917575:LMF917576 LWB917575:LWB917576 MFX917575:MFX917576 MPT917575:MPT917576 MZP917575:MZP917576 NJL917575:NJL917576 NTH917575:NTH917576 ODD917575:ODD917576 OMZ917575:OMZ917576 OWV917575:OWV917576 PGR917575:PGR917576 PQN917575:PQN917576 QAJ917575:QAJ917576 QKF917575:QKF917576 QUB917575:QUB917576 RDX917575:RDX917576 RNT917575:RNT917576 RXP917575:RXP917576 SHL917575:SHL917576 SRH917575:SRH917576 TBD917575:TBD917576 TKZ917575:TKZ917576 TUV917575:TUV917576 UER917575:UER917576 UON917575:UON917576 UYJ917575:UYJ917576 VIF917575:VIF917576 VSB917575:VSB917576 WBX917575:WBX917576 WLT917575:WLT917576 WVP917575:WVP917576 H983111:H983112 JD983111:JD983112 SZ983111:SZ983112 ACV983111:ACV983112 AMR983111:AMR983112 AWN983111:AWN983112 BGJ983111:BGJ983112 BQF983111:BQF983112 CAB983111:CAB983112 CJX983111:CJX983112 CTT983111:CTT983112 DDP983111:DDP983112 DNL983111:DNL983112 DXH983111:DXH983112 EHD983111:EHD983112 EQZ983111:EQZ983112 FAV983111:FAV983112 FKR983111:FKR983112 FUN983111:FUN983112 GEJ983111:GEJ983112 GOF983111:GOF983112 GYB983111:GYB983112 HHX983111:HHX983112 HRT983111:HRT983112 IBP983111:IBP983112 ILL983111:ILL983112 IVH983111:IVH983112 JFD983111:JFD983112 JOZ983111:JOZ983112 JYV983111:JYV983112 KIR983111:KIR983112 KSN983111:KSN983112 LCJ983111:LCJ983112 LMF983111:LMF983112 LWB983111:LWB983112 MFX983111:MFX983112 MPT983111:MPT983112 MZP983111:MZP983112 NJL983111:NJL983112 NTH983111:NTH983112 ODD983111:ODD983112 OMZ983111:OMZ983112 OWV983111:OWV983112 PGR983111:PGR983112 PQN983111:PQN983112 QAJ983111:QAJ983112 QKF983111:QKF983112 QUB983111:QUB983112 RDX983111:RDX983112 RNT983111:RNT983112 RXP983111:RXP983112 SHL983111:SHL983112 SRH983111:SRH983112 TBD983111:TBD983112 TKZ983111:TKZ983112 TUV983111:TUV983112 UER983111:UER983112 UON983111:UON983112 UYJ983111:UYJ983112 VIF983111:VIF983112 VSB983111:VSB983112 WBX983111:WBX983112 WLT983111:WLT983112 WVP983111:WVP983112 JB105:JB106 SX105:SX106 ACT105:ACT106 AMP105:AMP106 AWL105:AWL106 BGH105:BGH106 BQD105:BQD106 BZZ105:BZZ106 CJV105:CJV106 CTR105:CTR106 DDN105:DDN106 DNJ105:DNJ106 DXF105:DXF106 EHB105:EHB106 EQX105:EQX106 FAT105:FAT106 FKP105:FKP106 FUL105:FUL106 GEH105:GEH106 GOD105:GOD106 GXZ105:GXZ106 HHV105:HHV106 HRR105:HRR106 IBN105:IBN106 ILJ105:ILJ106 IVF105:IVF106 JFB105:JFB106 JOX105:JOX106 JYT105:JYT106 KIP105:KIP106 KSL105:KSL106 LCH105:LCH106 LMD105:LMD106 LVZ105:LVZ106 MFV105:MFV106 MPR105:MPR106 MZN105:MZN106 NJJ105:NJJ106 NTF105:NTF106 ODB105:ODB106 OMX105:OMX106 OWT105:OWT106 PGP105:PGP106 PQL105:PQL106 QAH105:QAH106 QKD105:QKD106 QTZ105:QTZ106 RDV105:RDV106 RNR105:RNR106 RXN105:RXN106 SHJ105:SHJ106 SRF105:SRF106 TBB105:TBB106 TKX105:TKX106 TUT105:TUT106 UEP105:UEP106 UOL105:UOL106 UYH105:UYH106 VID105:VID106 VRZ105:VRZ106 WBV105:WBV106 WLR105:WLR106 WVN105:WVN106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CAI71:CAI77 JK68:JK69 TG68:TG69 ADC68:ADC69 AMY68:AMY69 AWU68:AWU69 BGQ68:BGQ69 BQM68:BQM69 CAI68:CAI69 CKE68:CKE69 CUA68:CUA69 DDW68:DDW69 DNS68:DNS69 DXO68:DXO69 EHK68:EHK69 ERG68:ERG69 FBC68:FBC69 FKY68:FKY69 FUU68:FUU69 GEQ68:GEQ69 GOM68:GOM69 GYI68:GYI69 HIE68:HIE69 HSA68:HSA69 IBW68:IBW69 ILS68:ILS69 IVO68:IVO69 JFK68:JFK69 JPG68:JPG69 JZC68:JZC69 KIY68:KIY69 KSU68:KSU69 LCQ68:LCQ69 LMM68:LMM69 LWI68:LWI69 MGE68:MGE69 MQA68:MQA69 MZW68:MZW69 NJS68:NJS69 NTO68:NTO69 ODK68:ODK69 ONG68:ONG69 OXC68:OXC69 PGY68:PGY69 PQU68:PQU69 QAQ68:QAQ69 QKM68:QKM69 QUI68:QUI69 REE68:REE69 ROA68:ROA69 RXW68:RXW69 SHS68:SHS69 SRO68:SRO69 TBK68:TBK69 TLG68:TLG69 TVC68:TVC69 UEY68:UEY69 UOU68:UOU69 UYQ68:UYQ69 VIM68:VIM69 VSI68:VSI69 WCE68:WCE69 WMA68:WMA69 WVW68:WVW69 O65607:O65608 JK65607:JK65608 TG65607:TG65608 ADC65607:ADC65608 AMY65607:AMY65608 AWU65607:AWU65608 BGQ65607:BGQ65608 BQM65607:BQM65608 CAI65607:CAI65608 CKE65607:CKE65608 CUA65607:CUA65608 DDW65607:DDW65608 DNS65607:DNS65608 DXO65607:DXO65608 EHK65607:EHK65608 ERG65607:ERG65608 FBC65607:FBC65608 FKY65607:FKY65608 FUU65607:FUU65608 GEQ65607:GEQ65608 GOM65607:GOM65608 GYI65607:GYI65608 HIE65607:HIE65608 HSA65607:HSA65608 IBW65607:IBW65608 ILS65607:ILS65608 IVO65607:IVO65608 JFK65607:JFK65608 JPG65607:JPG65608 JZC65607:JZC65608 KIY65607:KIY65608 KSU65607:KSU65608 LCQ65607:LCQ65608 LMM65607:LMM65608 LWI65607:LWI65608 MGE65607:MGE65608 MQA65607:MQA65608 MZW65607:MZW65608 NJS65607:NJS65608 NTO65607:NTO65608 ODK65607:ODK65608 ONG65607:ONG65608 OXC65607:OXC65608 PGY65607:PGY65608 PQU65607:PQU65608 QAQ65607:QAQ65608 QKM65607:QKM65608 QUI65607:QUI65608 REE65607:REE65608 ROA65607:ROA65608 RXW65607:RXW65608 SHS65607:SHS65608 SRO65607:SRO65608 TBK65607:TBK65608 TLG65607:TLG65608 TVC65607:TVC65608 UEY65607:UEY65608 UOU65607:UOU65608 UYQ65607:UYQ65608 VIM65607:VIM65608 VSI65607:VSI65608 WCE65607:WCE65608 WMA65607:WMA65608 WVW65607:WVW65608 O131143:O131144 JK131143:JK131144 TG131143:TG131144 ADC131143:ADC131144 AMY131143:AMY131144 AWU131143:AWU131144 BGQ131143:BGQ131144 BQM131143:BQM131144 CAI131143:CAI131144 CKE131143:CKE131144 CUA131143:CUA131144 DDW131143:DDW131144 DNS131143:DNS131144 DXO131143:DXO131144 EHK131143:EHK131144 ERG131143:ERG131144 FBC131143:FBC131144 FKY131143:FKY131144 FUU131143:FUU131144 GEQ131143:GEQ131144 GOM131143:GOM131144 GYI131143:GYI131144 HIE131143:HIE131144 HSA131143:HSA131144 IBW131143:IBW131144 ILS131143:ILS131144 IVO131143:IVO131144 JFK131143:JFK131144 JPG131143:JPG131144 JZC131143:JZC131144 KIY131143:KIY131144 KSU131143:KSU131144 LCQ131143:LCQ131144 LMM131143:LMM131144 LWI131143:LWI131144 MGE131143:MGE131144 MQA131143:MQA131144 MZW131143:MZW131144 NJS131143:NJS131144 NTO131143:NTO131144 ODK131143:ODK131144 ONG131143:ONG131144 OXC131143:OXC131144 PGY131143:PGY131144 PQU131143:PQU131144 QAQ131143:QAQ131144 QKM131143:QKM131144 QUI131143:QUI131144 REE131143:REE131144 ROA131143:ROA131144 RXW131143:RXW131144 SHS131143:SHS131144 SRO131143:SRO131144 TBK131143:TBK131144 TLG131143:TLG131144 TVC131143:TVC131144 UEY131143:UEY131144 UOU131143:UOU131144 UYQ131143:UYQ131144 VIM131143:VIM131144 VSI131143:VSI131144 WCE131143:WCE131144 WMA131143:WMA131144 WVW131143:WVW131144 O196679:O196680 JK196679:JK196680 TG196679:TG196680 ADC196679:ADC196680 AMY196679:AMY196680 AWU196679:AWU196680 BGQ196679:BGQ196680 BQM196679:BQM196680 CAI196679:CAI196680 CKE196679:CKE196680 CUA196679:CUA196680 DDW196679:DDW196680 DNS196679:DNS196680 DXO196679:DXO196680 EHK196679:EHK196680 ERG196679:ERG196680 FBC196679:FBC196680 FKY196679:FKY196680 FUU196679:FUU196680 GEQ196679:GEQ196680 GOM196679:GOM196680 GYI196679:GYI196680 HIE196679:HIE196680 HSA196679:HSA196680 IBW196679:IBW196680 ILS196679:ILS196680 IVO196679:IVO196680 JFK196679:JFK196680 JPG196679:JPG196680 JZC196679:JZC196680 KIY196679:KIY196680 KSU196679:KSU196680 LCQ196679:LCQ196680 LMM196679:LMM196680 LWI196679:LWI196680 MGE196679:MGE196680 MQA196679:MQA196680 MZW196679:MZW196680 NJS196679:NJS196680 NTO196679:NTO196680 ODK196679:ODK196680 ONG196679:ONG196680 OXC196679:OXC196680 PGY196679:PGY196680 PQU196679:PQU196680 QAQ196679:QAQ196680 QKM196679:QKM196680 QUI196679:QUI196680 REE196679:REE196680 ROA196679:ROA196680 RXW196679:RXW196680 SHS196679:SHS196680 SRO196679:SRO196680 TBK196679:TBK196680 TLG196679:TLG196680 TVC196679:TVC196680 UEY196679:UEY196680 UOU196679:UOU196680 UYQ196679:UYQ196680 VIM196679:VIM196680 VSI196679:VSI196680 WCE196679:WCE196680 WMA196679:WMA196680 WVW196679:WVW196680 O262215:O262216 JK262215:JK262216 TG262215:TG262216 ADC262215:ADC262216 AMY262215:AMY262216 AWU262215:AWU262216 BGQ262215:BGQ262216 BQM262215:BQM262216 CAI262215:CAI262216 CKE262215:CKE262216 CUA262215:CUA262216 DDW262215:DDW262216 DNS262215:DNS262216 DXO262215:DXO262216 EHK262215:EHK262216 ERG262215:ERG262216 FBC262215:FBC262216 FKY262215:FKY262216 FUU262215:FUU262216 GEQ262215:GEQ262216 GOM262215:GOM262216 GYI262215:GYI262216 HIE262215:HIE262216 HSA262215:HSA262216 IBW262215:IBW262216 ILS262215:ILS262216 IVO262215:IVO262216 JFK262215:JFK262216 JPG262215:JPG262216 JZC262215:JZC262216 KIY262215:KIY262216 KSU262215:KSU262216 LCQ262215:LCQ262216 LMM262215:LMM262216 LWI262215:LWI262216 MGE262215:MGE262216 MQA262215:MQA262216 MZW262215:MZW262216 NJS262215:NJS262216 NTO262215:NTO262216 ODK262215:ODK262216 ONG262215:ONG262216 OXC262215:OXC262216 PGY262215:PGY262216 PQU262215:PQU262216 QAQ262215:QAQ262216 QKM262215:QKM262216 QUI262215:QUI262216 REE262215:REE262216 ROA262215:ROA262216 RXW262215:RXW262216 SHS262215:SHS262216 SRO262215:SRO262216 TBK262215:TBK262216 TLG262215:TLG262216 TVC262215:TVC262216 UEY262215:UEY262216 UOU262215:UOU262216 UYQ262215:UYQ262216 VIM262215:VIM262216 VSI262215:VSI262216 WCE262215:WCE262216 WMA262215:WMA262216 WVW262215:WVW262216 O327751:O327752 JK327751:JK327752 TG327751:TG327752 ADC327751:ADC327752 AMY327751:AMY327752 AWU327751:AWU327752 BGQ327751:BGQ327752 BQM327751:BQM327752 CAI327751:CAI327752 CKE327751:CKE327752 CUA327751:CUA327752 DDW327751:DDW327752 DNS327751:DNS327752 DXO327751:DXO327752 EHK327751:EHK327752 ERG327751:ERG327752 FBC327751:FBC327752 FKY327751:FKY327752 FUU327751:FUU327752 GEQ327751:GEQ327752 GOM327751:GOM327752 GYI327751:GYI327752 HIE327751:HIE327752 HSA327751:HSA327752 IBW327751:IBW327752 ILS327751:ILS327752 IVO327751:IVO327752 JFK327751:JFK327752 JPG327751:JPG327752 JZC327751:JZC327752 KIY327751:KIY327752 KSU327751:KSU327752 LCQ327751:LCQ327752 LMM327751:LMM327752 LWI327751:LWI327752 MGE327751:MGE327752 MQA327751:MQA327752 MZW327751:MZW327752 NJS327751:NJS327752 NTO327751:NTO327752 ODK327751:ODK327752 ONG327751:ONG327752 OXC327751:OXC327752 PGY327751:PGY327752 PQU327751:PQU327752 QAQ327751:QAQ327752 QKM327751:QKM327752 QUI327751:QUI327752 REE327751:REE327752 ROA327751:ROA327752 RXW327751:RXW327752 SHS327751:SHS327752 SRO327751:SRO327752 TBK327751:TBK327752 TLG327751:TLG327752 TVC327751:TVC327752 UEY327751:UEY327752 UOU327751:UOU327752 UYQ327751:UYQ327752 VIM327751:VIM327752 VSI327751:VSI327752 WCE327751:WCE327752 WMA327751:WMA327752 WVW327751:WVW327752 O393287:O393288 JK393287:JK393288 TG393287:TG393288 ADC393287:ADC393288 AMY393287:AMY393288 AWU393287:AWU393288 BGQ393287:BGQ393288 BQM393287:BQM393288 CAI393287:CAI393288 CKE393287:CKE393288 CUA393287:CUA393288 DDW393287:DDW393288 DNS393287:DNS393288 DXO393287:DXO393288 EHK393287:EHK393288 ERG393287:ERG393288 FBC393287:FBC393288 FKY393287:FKY393288 FUU393287:FUU393288 GEQ393287:GEQ393288 GOM393287:GOM393288 GYI393287:GYI393288 HIE393287:HIE393288 HSA393287:HSA393288 IBW393287:IBW393288 ILS393287:ILS393288 IVO393287:IVO393288 JFK393287:JFK393288 JPG393287:JPG393288 JZC393287:JZC393288 KIY393287:KIY393288 KSU393287:KSU393288 LCQ393287:LCQ393288 LMM393287:LMM393288 LWI393287:LWI393288 MGE393287:MGE393288 MQA393287:MQA393288 MZW393287:MZW393288 NJS393287:NJS393288 NTO393287:NTO393288 ODK393287:ODK393288 ONG393287:ONG393288 OXC393287:OXC393288 PGY393287:PGY393288 PQU393287:PQU393288 QAQ393287:QAQ393288 QKM393287:QKM393288 QUI393287:QUI393288 REE393287:REE393288 ROA393287:ROA393288 RXW393287:RXW393288 SHS393287:SHS393288 SRO393287:SRO393288 TBK393287:TBK393288 TLG393287:TLG393288 TVC393287:TVC393288 UEY393287:UEY393288 UOU393287:UOU393288 UYQ393287:UYQ393288 VIM393287:VIM393288 VSI393287:VSI393288 WCE393287:WCE393288 WMA393287:WMA393288 WVW393287:WVW393288 O458823:O458824 JK458823:JK458824 TG458823:TG458824 ADC458823:ADC458824 AMY458823:AMY458824 AWU458823:AWU458824 BGQ458823:BGQ458824 BQM458823:BQM458824 CAI458823:CAI458824 CKE458823:CKE458824 CUA458823:CUA458824 DDW458823:DDW458824 DNS458823:DNS458824 DXO458823:DXO458824 EHK458823:EHK458824 ERG458823:ERG458824 FBC458823:FBC458824 FKY458823:FKY458824 FUU458823:FUU458824 GEQ458823:GEQ458824 GOM458823:GOM458824 GYI458823:GYI458824 HIE458823:HIE458824 HSA458823:HSA458824 IBW458823:IBW458824 ILS458823:ILS458824 IVO458823:IVO458824 JFK458823:JFK458824 JPG458823:JPG458824 JZC458823:JZC458824 KIY458823:KIY458824 KSU458823:KSU458824 LCQ458823:LCQ458824 LMM458823:LMM458824 LWI458823:LWI458824 MGE458823:MGE458824 MQA458823:MQA458824 MZW458823:MZW458824 NJS458823:NJS458824 NTO458823:NTO458824 ODK458823:ODK458824 ONG458823:ONG458824 OXC458823:OXC458824 PGY458823:PGY458824 PQU458823:PQU458824 QAQ458823:QAQ458824 QKM458823:QKM458824 QUI458823:QUI458824 REE458823:REE458824 ROA458823:ROA458824 RXW458823:RXW458824 SHS458823:SHS458824 SRO458823:SRO458824 TBK458823:TBK458824 TLG458823:TLG458824 TVC458823:TVC458824 UEY458823:UEY458824 UOU458823:UOU458824 UYQ458823:UYQ458824 VIM458823:VIM458824 VSI458823:VSI458824 WCE458823:WCE458824 WMA458823:WMA458824 WVW458823:WVW458824 O524359:O524360 JK524359:JK524360 TG524359:TG524360 ADC524359:ADC524360 AMY524359:AMY524360 AWU524359:AWU524360 BGQ524359:BGQ524360 BQM524359:BQM524360 CAI524359:CAI524360 CKE524359:CKE524360 CUA524359:CUA524360 DDW524359:DDW524360 DNS524359:DNS524360 DXO524359:DXO524360 EHK524359:EHK524360 ERG524359:ERG524360 FBC524359:FBC524360 FKY524359:FKY524360 FUU524359:FUU524360 GEQ524359:GEQ524360 GOM524359:GOM524360 GYI524359:GYI524360 HIE524359:HIE524360 HSA524359:HSA524360 IBW524359:IBW524360 ILS524359:ILS524360 IVO524359:IVO524360 JFK524359:JFK524360 JPG524359:JPG524360 JZC524359:JZC524360 KIY524359:KIY524360 KSU524359:KSU524360 LCQ524359:LCQ524360 LMM524359:LMM524360 LWI524359:LWI524360 MGE524359:MGE524360 MQA524359:MQA524360 MZW524359:MZW524360 NJS524359:NJS524360 NTO524359:NTO524360 ODK524359:ODK524360 ONG524359:ONG524360 OXC524359:OXC524360 PGY524359:PGY524360 PQU524359:PQU524360 QAQ524359:QAQ524360 QKM524359:QKM524360 QUI524359:QUI524360 REE524359:REE524360 ROA524359:ROA524360 RXW524359:RXW524360 SHS524359:SHS524360 SRO524359:SRO524360 TBK524359:TBK524360 TLG524359:TLG524360 TVC524359:TVC524360 UEY524359:UEY524360 UOU524359:UOU524360 UYQ524359:UYQ524360 VIM524359:VIM524360 VSI524359:VSI524360 WCE524359:WCE524360 WMA524359:WMA524360 WVW524359:WVW524360 O589895:O589896 JK589895:JK589896 TG589895:TG589896 ADC589895:ADC589896 AMY589895:AMY589896 AWU589895:AWU589896 BGQ589895:BGQ589896 BQM589895:BQM589896 CAI589895:CAI589896 CKE589895:CKE589896 CUA589895:CUA589896 DDW589895:DDW589896 DNS589895:DNS589896 DXO589895:DXO589896 EHK589895:EHK589896 ERG589895:ERG589896 FBC589895:FBC589896 FKY589895:FKY589896 FUU589895:FUU589896 GEQ589895:GEQ589896 GOM589895:GOM589896 GYI589895:GYI589896 HIE589895:HIE589896 HSA589895:HSA589896 IBW589895:IBW589896 ILS589895:ILS589896 IVO589895:IVO589896 JFK589895:JFK589896 JPG589895:JPG589896 JZC589895:JZC589896 KIY589895:KIY589896 KSU589895:KSU589896 LCQ589895:LCQ589896 LMM589895:LMM589896 LWI589895:LWI589896 MGE589895:MGE589896 MQA589895:MQA589896 MZW589895:MZW589896 NJS589895:NJS589896 NTO589895:NTO589896 ODK589895:ODK589896 ONG589895:ONG589896 OXC589895:OXC589896 PGY589895:PGY589896 PQU589895:PQU589896 QAQ589895:QAQ589896 QKM589895:QKM589896 QUI589895:QUI589896 REE589895:REE589896 ROA589895:ROA589896 RXW589895:RXW589896 SHS589895:SHS589896 SRO589895:SRO589896 TBK589895:TBK589896 TLG589895:TLG589896 TVC589895:TVC589896 UEY589895:UEY589896 UOU589895:UOU589896 UYQ589895:UYQ589896 VIM589895:VIM589896 VSI589895:VSI589896 WCE589895:WCE589896 WMA589895:WMA589896 WVW589895:WVW589896 O655431:O655432 JK655431:JK655432 TG655431:TG655432 ADC655431:ADC655432 AMY655431:AMY655432 AWU655431:AWU655432 BGQ655431:BGQ655432 BQM655431:BQM655432 CAI655431:CAI655432 CKE655431:CKE655432 CUA655431:CUA655432 DDW655431:DDW655432 DNS655431:DNS655432 DXO655431:DXO655432 EHK655431:EHK655432 ERG655431:ERG655432 FBC655431:FBC655432 FKY655431:FKY655432 FUU655431:FUU655432 GEQ655431:GEQ655432 GOM655431:GOM655432 GYI655431:GYI655432 HIE655431:HIE655432 HSA655431:HSA655432 IBW655431:IBW655432 ILS655431:ILS655432 IVO655431:IVO655432 JFK655431:JFK655432 JPG655431:JPG655432 JZC655431:JZC655432 KIY655431:KIY655432 KSU655431:KSU655432 LCQ655431:LCQ655432 LMM655431:LMM655432 LWI655431:LWI655432 MGE655431:MGE655432 MQA655431:MQA655432 MZW655431:MZW655432 NJS655431:NJS655432 NTO655431:NTO655432 ODK655431:ODK655432 ONG655431:ONG655432 OXC655431:OXC655432 PGY655431:PGY655432 PQU655431:PQU655432 QAQ655431:QAQ655432 QKM655431:QKM655432 QUI655431:QUI655432 REE655431:REE655432 ROA655431:ROA655432 RXW655431:RXW655432 SHS655431:SHS655432 SRO655431:SRO655432 TBK655431:TBK655432 TLG655431:TLG655432 TVC655431:TVC655432 UEY655431:UEY655432 UOU655431:UOU655432 UYQ655431:UYQ655432 VIM655431:VIM655432 VSI655431:VSI655432 WCE655431:WCE655432 WMA655431:WMA655432 WVW655431:WVW655432 O720967:O720968 JK720967:JK720968 TG720967:TG720968 ADC720967:ADC720968 AMY720967:AMY720968 AWU720967:AWU720968 BGQ720967:BGQ720968 BQM720967:BQM720968 CAI720967:CAI720968 CKE720967:CKE720968 CUA720967:CUA720968 DDW720967:DDW720968 DNS720967:DNS720968 DXO720967:DXO720968 EHK720967:EHK720968 ERG720967:ERG720968 FBC720967:FBC720968 FKY720967:FKY720968 FUU720967:FUU720968 GEQ720967:GEQ720968 GOM720967:GOM720968 GYI720967:GYI720968 HIE720967:HIE720968 HSA720967:HSA720968 IBW720967:IBW720968 ILS720967:ILS720968 IVO720967:IVO720968 JFK720967:JFK720968 JPG720967:JPG720968 JZC720967:JZC720968 KIY720967:KIY720968 KSU720967:KSU720968 LCQ720967:LCQ720968 LMM720967:LMM720968 LWI720967:LWI720968 MGE720967:MGE720968 MQA720967:MQA720968 MZW720967:MZW720968 NJS720967:NJS720968 NTO720967:NTO720968 ODK720967:ODK720968 ONG720967:ONG720968 OXC720967:OXC720968 PGY720967:PGY720968 PQU720967:PQU720968 QAQ720967:QAQ720968 QKM720967:QKM720968 QUI720967:QUI720968 REE720967:REE720968 ROA720967:ROA720968 RXW720967:RXW720968 SHS720967:SHS720968 SRO720967:SRO720968 TBK720967:TBK720968 TLG720967:TLG720968 TVC720967:TVC720968 UEY720967:UEY720968 UOU720967:UOU720968 UYQ720967:UYQ720968 VIM720967:VIM720968 VSI720967:VSI720968 WCE720967:WCE720968 WMA720967:WMA720968 WVW720967:WVW720968 O786503:O786504 JK786503:JK786504 TG786503:TG786504 ADC786503:ADC786504 AMY786503:AMY786504 AWU786503:AWU786504 BGQ786503:BGQ786504 BQM786503:BQM786504 CAI786503:CAI786504 CKE786503:CKE786504 CUA786503:CUA786504 DDW786503:DDW786504 DNS786503:DNS786504 DXO786503:DXO786504 EHK786503:EHK786504 ERG786503:ERG786504 FBC786503:FBC786504 FKY786503:FKY786504 FUU786503:FUU786504 GEQ786503:GEQ786504 GOM786503:GOM786504 GYI786503:GYI786504 HIE786503:HIE786504 HSA786503:HSA786504 IBW786503:IBW786504 ILS786503:ILS786504 IVO786503:IVO786504 JFK786503:JFK786504 JPG786503:JPG786504 JZC786503:JZC786504 KIY786503:KIY786504 KSU786503:KSU786504 LCQ786503:LCQ786504 LMM786503:LMM786504 LWI786503:LWI786504 MGE786503:MGE786504 MQA786503:MQA786504 MZW786503:MZW786504 NJS786503:NJS786504 NTO786503:NTO786504 ODK786503:ODK786504 ONG786503:ONG786504 OXC786503:OXC786504 PGY786503:PGY786504 PQU786503:PQU786504 QAQ786503:QAQ786504 QKM786503:QKM786504 QUI786503:QUI786504 REE786503:REE786504 ROA786503:ROA786504 RXW786503:RXW786504 SHS786503:SHS786504 SRO786503:SRO786504 TBK786503:TBK786504 TLG786503:TLG786504 TVC786503:TVC786504 UEY786503:UEY786504 UOU786503:UOU786504 UYQ786503:UYQ786504 VIM786503:VIM786504 VSI786503:VSI786504 WCE786503:WCE786504 WMA786503:WMA786504 WVW786503:WVW786504 O852039:O852040 JK852039:JK852040 TG852039:TG852040 ADC852039:ADC852040 AMY852039:AMY852040 AWU852039:AWU852040 BGQ852039:BGQ852040 BQM852039:BQM852040 CAI852039:CAI852040 CKE852039:CKE852040 CUA852039:CUA852040 DDW852039:DDW852040 DNS852039:DNS852040 DXO852039:DXO852040 EHK852039:EHK852040 ERG852039:ERG852040 FBC852039:FBC852040 FKY852039:FKY852040 FUU852039:FUU852040 GEQ852039:GEQ852040 GOM852039:GOM852040 GYI852039:GYI852040 HIE852039:HIE852040 HSA852039:HSA852040 IBW852039:IBW852040 ILS852039:ILS852040 IVO852039:IVO852040 JFK852039:JFK852040 JPG852039:JPG852040 JZC852039:JZC852040 KIY852039:KIY852040 KSU852039:KSU852040 LCQ852039:LCQ852040 LMM852039:LMM852040 LWI852039:LWI852040 MGE852039:MGE852040 MQA852039:MQA852040 MZW852039:MZW852040 NJS852039:NJS852040 NTO852039:NTO852040 ODK852039:ODK852040 ONG852039:ONG852040 OXC852039:OXC852040 PGY852039:PGY852040 PQU852039:PQU852040 QAQ852039:QAQ852040 QKM852039:QKM852040 QUI852039:QUI852040 REE852039:REE852040 ROA852039:ROA852040 RXW852039:RXW852040 SHS852039:SHS852040 SRO852039:SRO852040 TBK852039:TBK852040 TLG852039:TLG852040 TVC852039:TVC852040 UEY852039:UEY852040 UOU852039:UOU852040 UYQ852039:UYQ852040 VIM852039:VIM852040 VSI852039:VSI852040 WCE852039:WCE852040 WMA852039:WMA852040 WVW852039:WVW852040 O917575:O917576 JK917575:JK917576 TG917575:TG917576 ADC917575:ADC917576 AMY917575:AMY917576 AWU917575:AWU917576 BGQ917575:BGQ917576 BQM917575:BQM917576 CAI917575:CAI917576 CKE917575:CKE917576 CUA917575:CUA917576 DDW917575:DDW917576 DNS917575:DNS917576 DXO917575:DXO917576 EHK917575:EHK917576 ERG917575:ERG917576 FBC917575:FBC917576 FKY917575:FKY917576 FUU917575:FUU917576 GEQ917575:GEQ917576 GOM917575:GOM917576 GYI917575:GYI917576 HIE917575:HIE917576 HSA917575:HSA917576 IBW917575:IBW917576 ILS917575:ILS917576 IVO917575:IVO917576 JFK917575:JFK917576 JPG917575:JPG917576 JZC917575:JZC917576 KIY917575:KIY917576 KSU917575:KSU917576 LCQ917575:LCQ917576 LMM917575:LMM917576 LWI917575:LWI917576 MGE917575:MGE917576 MQA917575:MQA917576 MZW917575:MZW917576 NJS917575:NJS917576 NTO917575:NTO917576 ODK917575:ODK917576 ONG917575:ONG917576 OXC917575:OXC917576 PGY917575:PGY917576 PQU917575:PQU917576 QAQ917575:QAQ917576 QKM917575:QKM917576 QUI917575:QUI917576 REE917575:REE917576 ROA917575:ROA917576 RXW917575:RXW917576 SHS917575:SHS917576 SRO917575:SRO917576 TBK917575:TBK917576 TLG917575:TLG917576 TVC917575:TVC917576 UEY917575:UEY917576 UOU917575:UOU917576 UYQ917575:UYQ917576 VIM917575:VIM917576 VSI917575:VSI917576 WCE917575:WCE917576 WMA917575:WMA917576 WVW917575:WVW917576 O983111:O983112 JK983111:JK983112 TG983111:TG983112 ADC983111:ADC983112 AMY983111:AMY983112 AWU983111:AWU983112 BGQ983111:BGQ983112 BQM983111:BQM983112 CAI983111:CAI983112 CKE983111:CKE983112 CUA983111:CUA983112 DDW983111:DDW983112 DNS983111:DNS983112 DXO983111:DXO983112 EHK983111:EHK983112 ERG983111:ERG983112 FBC983111:FBC983112 FKY983111:FKY983112 FUU983111:FUU983112 GEQ983111:GEQ983112 GOM983111:GOM983112 GYI983111:GYI983112 HIE983111:HIE983112 HSA983111:HSA983112 IBW983111:IBW983112 ILS983111:ILS983112 IVO983111:IVO983112 JFK983111:JFK983112 JPG983111:JPG983112 JZC983111:JZC983112 KIY983111:KIY983112 KSU983111:KSU983112 LCQ983111:LCQ983112 LMM983111:LMM983112 LWI983111:LWI983112 MGE983111:MGE983112 MQA983111:MQA983112 MZW983111:MZW983112 NJS983111:NJS983112 NTO983111:NTO983112 ODK983111:ODK983112 ONG983111:ONG983112 OXC983111:OXC983112 PGY983111:PGY983112 PQU983111:PQU983112 QAQ983111:QAQ983112 QKM983111:QKM983112 QUI983111:QUI983112 REE983111:REE983112 ROA983111:ROA983112 RXW983111:RXW983112 SHS983111:SHS983112 SRO983111:SRO983112 TBK983111:TBK983112 TLG983111:TLG983112 TVC983111:TVC983112 UEY983111:UEY983112 UOU983111:UOU983112 UYQ983111:UYQ983112 VIM983111:VIM983112 VSI983111:VSI983112 WCE983111:WCE983112 WMA983111:WMA983112 WVW983111:WVW983112 BQM71:BQM77 O65610:O65616 JK65610:JK65616 TG65610:TG65616 ADC65610:ADC65616 AMY65610:AMY65616 AWU65610:AWU65616 BGQ65610:BGQ65616 BQM65610:BQM65616 CAI65610:CAI65616 CKE65610:CKE65616 CUA65610:CUA65616 DDW65610:DDW65616 DNS65610:DNS65616 DXO65610:DXO65616 EHK65610:EHK65616 ERG65610:ERG65616 FBC65610:FBC65616 FKY65610:FKY65616 FUU65610:FUU65616 GEQ65610:GEQ65616 GOM65610:GOM65616 GYI65610:GYI65616 HIE65610:HIE65616 HSA65610:HSA65616 IBW65610:IBW65616 ILS65610:ILS65616 IVO65610:IVO65616 JFK65610:JFK65616 JPG65610:JPG65616 JZC65610:JZC65616 KIY65610:KIY65616 KSU65610:KSU65616 LCQ65610:LCQ65616 LMM65610:LMM65616 LWI65610:LWI65616 MGE65610:MGE65616 MQA65610:MQA65616 MZW65610:MZW65616 NJS65610:NJS65616 NTO65610:NTO65616 ODK65610:ODK65616 ONG65610:ONG65616 OXC65610:OXC65616 PGY65610:PGY65616 PQU65610:PQU65616 QAQ65610:QAQ65616 QKM65610:QKM65616 QUI65610:QUI65616 REE65610:REE65616 ROA65610:ROA65616 RXW65610:RXW65616 SHS65610:SHS65616 SRO65610:SRO65616 TBK65610:TBK65616 TLG65610:TLG65616 TVC65610:TVC65616 UEY65610:UEY65616 UOU65610:UOU65616 UYQ65610:UYQ65616 VIM65610:VIM65616 VSI65610:VSI65616 WCE65610:WCE65616 WMA65610:WMA65616 WVW65610:WVW65616 O131146:O131152 JK131146:JK131152 TG131146:TG131152 ADC131146:ADC131152 AMY131146:AMY131152 AWU131146:AWU131152 BGQ131146:BGQ131152 BQM131146:BQM131152 CAI131146:CAI131152 CKE131146:CKE131152 CUA131146:CUA131152 DDW131146:DDW131152 DNS131146:DNS131152 DXO131146:DXO131152 EHK131146:EHK131152 ERG131146:ERG131152 FBC131146:FBC131152 FKY131146:FKY131152 FUU131146:FUU131152 GEQ131146:GEQ131152 GOM131146:GOM131152 GYI131146:GYI131152 HIE131146:HIE131152 HSA131146:HSA131152 IBW131146:IBW131152 ILS131146:ILS131152 IVO131146:IVO131152 JFK131146:JFK131152 JPG131146:JPG131152 JZC131146:JZC131152 KIY131146:KIY131152 KSU131146:KSU131152 LCQ131146:LCQ131152 LMM131146:LMM131152 LWI131146:LWI131152 MGE131146:MGE131152 MQA131146:MQA131152 MZW131146:MZW131152 NJS131146:NJS131152 NTO131146:NTO131152 ODK131146:ODK131152 ONG131146:ONG131152 OXC131146:OXC131152 PGY131146:PGY131152 PQU131146:PQU131152 QAQ131146:QAQ131152 QKM131146:QKM131152 QUI131146:QUI131152 REE131146:REE131152 ROA131146:ROA131152 RXW131146:RXW131152 SHS131146:SHS131152 SRO131146:SRO131152 TBK131146:TBK131152 TLG131146:TLG131152 TVC131146:TVC131152 UEY131146:UEY131152 UOU131146:UOU131152 UYQ131146:UYQ131152 VIM131146:VIM131152 VSI131146:VSI131152 WCE131146:WCE131152 WMA131146:WMA131152 WVW131146:WVW131152 O196682:O196688 JK196682:JK196688 TG196682:TG196688 ADC196682:ADC196688 AMY196682:AMY196688 AWU196682:AWU196688 BGQ196682:BGQ196688 BQM196682:BQM196688 CAI196682:CAI196688 CKE196682:CKE196688 CUA196682:CUA196688 DDW196682:DDW196688 DNS196682:DNS196688 DXO196682:DXO196688 EHK196682:EHK196688 ERG196682:ERG196688 FBC196682:FBC196688 FKY196682:FKY196688 FUU196682:FUU196688 GEQ196682:GEQ196688 GOM196682:GOM196688 GYI196682:GYI196688 HIE196682:HIE196688 HSA196682:HSA196688 IBW196682:IBW196688 ILS196682:ILS196688 IVO196682:IVO196688 JFK196682:JFK196688 JPG196682:JPG196688 JZC196682:JZC196688 KIY196682:KIY196688 KSU196682:KSU196688 LCQ196682:LCQ196688 LMM196682:LMM196688 LWI196682:LWI196688 MGE196682:MGE196688 MQA196682:MQA196688 MZW196682:MZW196688 NJS196682:NJS196688 NTO196682:NTO196688 ODK196682:ODK196688 ONG196682:ONG196688 OXC196682:OXC196688 PGY196682:PGY196688 PQU196682:PQU196688 QAQ196682:QAQ196688 QKM196682:QKM196688 QUI196682:QUI196688 REE196682:REE196688 ROA196682:ROA196688 RXW196682:RXW196688 SHS196682:SHS196688 SRO196682:SRO196688 TBK196682:TBK196688 TLG196682:TLG196688 TVC196682:TVC196688 UEY196682:UEY196688 UOU196682:UOU196688 UYQ196682:UYQ196688 VIM196682:VIM196688 VSI196682:VSI196688 WCE196682:WCE196688 WMA196682:WMA196688 WVW196682:WVW196688 O262218:O262224 JK262218:JK262224 TG262218:TG262224 ADC262218:ADC262224 AMY262218:AMY262224 AWU262218:AWU262224 BGQ262218:BGQ262224 BQM262218:BQM262224 CAI262218:CAI262224 CKE262218:CKE262224 CUA262218:CUA262224 DDW262218:DDW262224 DNS262218:DNS262224 DXO262218:DXO262224 EHK262218:EHK262224 ERG262218:ERG262224 FBC262218:FBC262224 FKY262218:FKY262224 FUU262218:FUU262224 GEQ262218:GEQ262224 GOM262218:GOM262224 GYI262218:GYI262224 HIE262218:HIE262224 HSA262218:HSA262224 IBW262218:IBW262224 ILS262218:ILS262224 IVO262218:IVO262224 JFK262218:JFK262224 JPG262218:JPG262224 JZC262218:JZC262224 KIY262218:KIY262224 KSU262218:KSU262224 LCQ262218:LCQ262224 LMM262218:LMM262224 LWI262218:LWI262224 MGE262218:MGE262224 MQA262218:MQA262224 MZW262218:MZW262224 NJS262218:NJS262224 NTO262218:NTO262224 ODK262218:ODK262224 ONG262218:ONG262224 OXC262218:OXC262224 PGY262218:PGY262224 PQU262218:PQU262224 QAQ262218:QAQ262224 QKM262218:QKM262224 QUI262218:QUI262224 REE262218:REE262224 ROA262218:ROA262224 RXW262218:RXW262224 SHS262218:SHS262224 SRO262218:SRO262224 TBK262218:TBK262224 TLG262218:TLG262224 TVC262218:TVC262224 UEY262218:UEY262224 UOU262218:UOU262224 UYQ262218:UYQ262224 VIM262218:VIM262224 VSI262218:VSI262224 WCE262218:WCE262224 WMA262218:WMA262224 WVW262218:WVW262224 O327754:O327760 JK327754:JK327760 TG327754:TG327760 ADC327754:ADC327760 AMY327754:AMY327760 AWU327754:AWU327760 BGQ327754:BGQ327760 BQM327754:BQM327760 CAI327754:CAI327760 CKE327754:CKE327760 CUA327754:CUA327760 DDW327754:DDW327760 DNS327754:DNS327760 DXO327754:DXO327760 EHK327754:EHK327760 ERG327754:ERG327760 FBC327754:FBC327760 FKY327754:FKY327760 FUU327754:FUU327760 GEQ327754:GEQ327760 GOM327754:GOM327760 GYI327754:GYI327760 HIE327754:HIE327760 HSA327754:HSA327760 IBW327754:IBW327760 ILS327754:ILS327760 IVO327754:IVO327760 JFK327754:JFK327760 JPG327754:JPG327760 JZC327754:JZC327760 KIY327754:KIY327760 KSU327754:KSU327760 LCQ327754:LCQ327760 LMM327754:LMM327760 LWI327754:LWI327760 MGE327754:MGE327760 MQA327754:MQA327760 MZW327754:MZW327760 NJS327754:NJS327760 NTO327754:NTO327760 ODK327754:ODK327760 ONG327754:ONG327760 OXC327754:OXC327760 PGY327754:PGY327760 PQU327754:PQU327760 QAQ327754:QAQ327760 QKM327754:QKM327760 QUI327754:QUI327760 REE327754:REE327760 ROA327754:ROA327760 RXW327754:RXW327760 SHS327754:SHS327760 SRO327754:SRO327760 TBK327754:TBK327760 TLG327754:TLG327760 TVC327754:TVC327760 UEY327754:UEY327760 UOU327754:UOU327760 UYQ327754:UYQ327760 VIM327754:VIM327760 VSI327754:VSI327760 WCE327754:WCE327760 WMA327754:WMA327760 WVW327754:WVW327760 O393290:O393296 JK393290:JK393296 TG393290:TG393296 ADC393290:ADC393296 AMY393290:AMY393296 AWU393290:AWU393296 BGQ393290:BGQ393296 BQM393290:BQM393296 CAI393290:CAI393296 CKE393290:CKE393296 CUA393290:CUA393296 DDW393290:DDW393296 DNS393290:DNS393296 DXO393290:DXO393296 EHK393290:EHK393296 ERG393290:ERG393296 FBC393290:FBC393296 FKY393290:FKY393296 FUU393290:FUU393296 GEQ393290:GEQ393296 GOM393290:GOM393296 GYI393290:GYI393296 HIE393290:HIE393296 HSA393290:HSA393296 IBW393290:IBW393296 ILS393290:ILS393296 IVO393290:IVO393296 JFK393290:JFK393296 JPG393290:JPG393296 JZC393290:JZC393296 KIY393290:KIY393296 KSU393290:KSU393296 LCQ393290:LCQ393296 LMM393290:LMM393296 LWI393290:LWI393296 MGE393290:MGE393296 MQA393290:MQA393296 MZW393290:MZW393296 NJS393290:NJS393296 NTO393290:NTO393296 ODK393290:ODK393296 ONG393290:ONG393296 OXC393290:OXC393296 PGY393290:PGY393296 PQU393290:PQU393296 QAQ393290:QAQ393296 QKM393290:QKM393296 QUI393290:QUI393296 REE393290:REE393296 ROA393290:ROA393296 RXW393290:RXW393296 SHS393290:SHS393296 SRO393290:SRO393296 TBK393290:TBK393296 TLG393290:TLG393296 TVC393290:TVC393296 UEY393290:UEY393296 UOU393290:UOU393296 UYQ393290:UYQ393296 VIM393290:VIM393296 VSI393290:VSI393296 WCE393290:WCE393296 WMA393290:WMA393296 WVW393290:WVW393296 O458826:O458832 JK458826:JK458832 TG458826:TG458832 ADC458826:ADC458832 AMY458826:AMY458832 AWU458826:AWU458832 BGQ458826:BGQ458832 BQM458826:BQM458832 CAI458826:CAI458832 CKE458826:CKE458832 CUA458826:CUA458832 DDW458826:DDW458832 DNS458826:DNS458832 DXO458826:DXO458832 EHK458826:EHK458832 ERG458826:ERG458832 FBC458826:FBC458832 FKY458826:FKY458832 FUU458826:FUU458832 GEQ458826:GEQ458832 GOM458826:GOM458832 GYI458826:GYI458832 HIE458826:HIE458832 HSA458826:HSA458832 IBW458826:IBW458832 ILS458826:ILS458832 IVO458826:IVO458832 JFK458826:JFK458832 JPG458826:JPG458832 JZC458826:JZC458832 KIY458826:KIY458832 KSU458826:KSU458832 LCQ458826:LCQ458832 LMM458826:LMM458832 LWI458826:LWI458832 MGE458826:MGE458832 MQA458826:MQA458832 MZW458826:MZW458832 NJS458826:NJS458832 NTO458826:NTO458832 ODK458826:ODK458832 ONG458826:ONG458832 OXC458826:OXC458832 PGY458826:PGY458832 PQU458826:PQU458832 QAQ458826:QAQ458832 QKM458826:QKM458832 QUI458826:QUI458832 REE458826:REE458832 ROA458826:ROA458832 RXW458826:RXW458832 SHS458826:SHS458832 SRO458826:SRO458832 TBK458826:TBK458832 TLG458826:TLG458832 TVC458826:TVC458832 UEY458826:UEY458832 UOU458826:UOU458832 UYQ458826:UYQ458832 VIM458826:VIM458832 VSI458826:VSI458832 WCE458826:WCE458832 WMA458826:WMA458832 WVW458826:WVW458832 O524362:O524368 JK524362:JK524368 TG524362:TG524368 ADC524362:ADC524368 AMY524362:AMY524368 AWU524362:AWU524368 BGQ524362:BGQ524368 BQM524362:BQM524368 CAI524362:CAI524368 CKE524362:CKE524368 CUA524362:CUA524368 DDW524362:DDW524368 DNS524362:DNS524368 DXO524362:DXO524368 EHK524362:EHK524368 ERG524362:ERG524368 FBC524362:FBC524368 FKY524362:FKY524368 FUU524362:FUU524368 GEQ524362:GEQ524368 GOM524362:GOM524368 GYI524362:GYI524368 HIE524362:HIE524368 HSA524362:HSA524368 IBW524362:IBW524368 ILS524362:ILS524368 IVO524362:IVO524368 JFK524362:JFK524368 JPG524362:JPG524368 JZC524362:JZC524368 KIY524362:KIY524368 KSU524362:KSU524368 LCQ524362:LCQ524368 LMM524362:LMM524368 LWI524362:LWI524368 MGE524362:MGE524368 MQA524362:MQA524368 MZW524362:MZW524368 NJS524362:NJS524368 NTO524362:NTO524368 ODK524362:ODK524368 ONG524362:ONG524368 OXC524362:OXC524368 PGY524362:PGY524368 PQU524362:PQU524368 QAQ524362:QAQ524368 QKM524362:QKM524368 QUI524362:QUI524368 REE524362:REE524368 ROA524362:ROA524368 RXW524362:RXW524368 SHS524362:SHS524368 SRO524362:SRO524368 TBK524362:TBK524368 TLG524362:TLG524368 TVC524362:TVC524368 UEY524362:UEY524368 UOU524362:UOU524368 UYQ524362:UYQ524368 VIM524362:VIM524368 VSI524362:VSI524368 WCE524362:WCE524368 WMA524362:WMA524368 WVW524362:WVW524368 O589898:O589904 JK589898:JK589904 TG589898:TG589904 ADC589898:ADC589904 AMY589898:AMY589904 AWU589898:AWU589904 BGQ589898:BGQ589904 BQM589898:BQM589904 CAI589898:CAI589904 CKE589898:CKE589904 CUA589898:CUA589904 DDW589898:DDW589904 DNS589898:DNS589904 DXO589898:DXO589904 EHK589898:EHK589904 ERG589898:ERG589904 FBC589898:FBC589904 FKY589898:FKY589904 FUU589898:FUU589904 GEQ589898:GEQ589904 GOM589898:GOM589904 GYI589898:GYI589904 HIE589898:HIE589904 HSA589898:HSA589904 IBW589898:IBW589904 ILS589898:ILS589904 IVO589898:IVO589904 JFK589898:JFK589904 JPG589898:JPG589904 JZC589898:JZC589904 KIY589898:KIY589904 KSU589898:KSU589904 LCQ589898:LCQ589904 LMM589898:LMM589904 LWI589898:LWI589904 MGE589898:MGE589904 MQA589898:MQA589904 MZW589898:MZW589904 NJS589898:NJS589904 NTO589898:NTO589904 ODK589898:ODK589904 ONG589898:ONG589904 OXC589898:OXC589904 PGY589898:PGY589904 PQU589898:PQU589904 QAQ589898:QAQ589904 QKM589898:QKM589904 QUI589898:QUI589904 REE589898:REE589904 ROA589898:ROA589904 RXW589898:RXW589904 SHS589898:SHS589904 SRO589898:SRO589904 TBK589898:TBK589904 TLG589898:TLG589904 TVC589898:TVC589904 UEY589898:UEY589904 UOU589898:UOU589904 UYQ589898:UYQ589904 VIM589898:VIM589904 VSI589898:VSI589904 WCE589898:WCE589904 WMA589898:WMA589904 WVW589898:WVW589904 O655434:O655440 JK655434:JK655440 TG655434:TG655440 ADC655434:ADC655440 AMY655434:AMY655440 AWU655434:AWU655440 BGQ655434:BGQ655440 BQM655434:BQM655440 CAI655434:CAI655440 CKE655434:CKE655440 CUA655434:CUA655440 DDW655434:DDW655440 DNS655434:DNS655440 DXO655434:DXO655440 EHK655434:EHK655440 ERG655434:ERG655440 FBC655434:FBC655440 FKY655434:FKY655440 FUU655434:FUU655440 GEQ655434:GEQ655440 GOM655434:GOM655440 GYI655434:GYI655440 HIE655434:HIE655440 HSA655434:HSA655440 IBW655434:IBW655440 ILS655434:ILS655440 IVO655434:IVO655440 JFK655434:JFK655440 JPG655434:JPG655440 JZC655434:JZC655440 KIY655434:KIY655440 KSU655434:KSU655440 LCQ655434:LCQ655440 LMM655434:LMM655440 LWI655434:LWI655440 MGE655434:MGE655440 MQA655434:MQA655440 MZW655434:MZW655440 NJS655434:NJS655440 NTO655434:NTO655440 ODK655434:ODK655440 ONG655434:ONG655440 OXC655434:OXC655440 PGY655434:PGY655440 PQU655434:PQU655440 QAQ655434:QAQ655440 QKM655434:QKM655440 QUI655434:QUI655440 REE655434:REE655440 ROA655434:ROA655440 RXW655434:RXW655440 SHS655434:SHS655440 SRO655434:SRO655440 TBK655434:TBK655440 TLG655434:TLG655440 TVC655434:TVC655440 UEY655434:UEY655440 UOU655434:UOU655440 UYQ655434:UYQ655440 VIM655434:VIM655440 VSI655434:VSI655440 WCE655434:WCE655440 WMA655434:WMA655440 WVW655434:WVW655440 O720970:O720976 JK720970:JK720976 TG720970:TG720976 ADC720970:ADC720976 AMY720970:AMY720976 AWU720970:AWU720976 BGQ720970:BGQ720976 BQM720970:BQM720976 CAI720970:CAI720976 CKE720970:CKE720976 CUA720970:CUA720976 DDW720970:DDW720976 DNS720970:DNS720976 DXO720970:DXO720976 EHK720970:EHK720976 ERG720970:ERG720976 FBC720970:FBC720976 FKY720970:FKY720976 FUU720970:FUU720976 GEQ720970:GEQ720976 GOM720970:GOM720976 GYI720970:GYI720976 HIE720970:HIE720976 HSA720970:HSA720976 IBW720970:IBW720976 ILS720970:ILS720976 IVO720970:IVO720976 JFK720970:JFK720976 JPG720970:JPG720976 JZC720970:JZC720976 KIY720970:KIY720976 KSU720970:KSU720976 LCQ720970:LCQ720976 LMM720970:LMM720976 LWI720970:LWI720976 MGE720970:MGE720976 MQA720970:MQA720976 MZW720970:MZW720976 NJS720970:NJS720976 NTO720970:NTO720976 ODK720970:ODK720976 ONG720970:ONG720976 OXC720970:OXC720976 PGY720970:PGY720976 PQU720970:PQU720976 QAQ720970:QAQ720976 QKM720970:QKM720976 QUI720970:QUI720976 REE720970:REE720976 ROA720970:ROA720976 RXW720970:RXW720976 SHS720970:SHS720976 SRO720970:SRO720976 TBK720970:TBK720976 TLG720970:TLG720976 TVC720970:TVC720976 UEY720970:UEY720976 UOU720970:UOU720976 UYQ720970:UYQ720976 VIM720970:VIM720976 VSI720970:VSI720976 WCE720970:WCE720976 WMA720970:WMA720976 WVW720970:WVW720976 O786506:O786512 JK786506:JK786512 TG786506:TG786512 ADC786506:ADC786512 AMY786506:AMY786512 AWU786506:AWU786512 BGQ786506:BGQ786512 BQM786506:BQM786512 CAI786506:CAI786512 CKE786506:CKE786512 CUA786506:CUA786512 DDW786506:DDW786512 DNS786506:DNS786512 DXO786506:DXO786512 EHK786506:EHK786512 ERG786506:ERG786512 FBC786506:FBC786512 FKY786506:FKY786512 FUU786506:FUU786512 GEQ786506:GEQ786512 GOM786506:GOM786512 GYI786506:GYI786512 HIE786506:HIE786512 HSA786506:HSA786512 IBW786506:IBW786512 ILS786506:ILS786512 IVO786506:IVO786512 JFK786506:JFK786512 JPG786506:JPG786512 JZC786506:JZC786512 KIY786506:KIY786512 KSU786506:KSU786512 LCQ786506:LCQ786512 LMM786506:LMM786512 LWI786506:LWI786512 MGE786506:MGE786512 MQA786506:MQA786512 MZW786506:MZW786512 NJS786506:NJS786512 NTO786506:NTO786512 ODK786506:ODK786512 ONG786506:ONG786512 OXC786506:OXC786512 PGY786506:PGY786512 PQU786506:PQU786512 QAQ786506:QAQ786512 QKM786506:QKM786512 QUI786506:QUI786512 REE786506:REE786512 ROA786506:ROA786512 RXW786506:RXW786512 SHS786506:SHS786512 SRO786506:SRO786512 TBK786506:TBK786512 TLG786506:TLG786512 TVC786506:TVC786512 UEY786506:UEY786512 UOU786506:UOU786512 UYQ786506:UYQ786512 VIM786506:VIM786512 VSI786506:VSI786512 WCE786506:WCE786512 WMA786506:WMA786512 WVW786506:WVW786512 O852042:O852048 JK852042:JK852048 TG852042:TG852048 ADC852042:ADC852048 AMY852042:AMY852048 AWU852042:AWU852048 BGQ852042:BGQ852048 BQM852042:BQM852048 CAI852042:CAI852048 CKE852042:CKE852048 CUA852042:CUA852048 DDW852042:DDW852048 DNS852042:DNS852048 DXO852042:DXO852048 EHK852042:EHK852048 ERG852042:ERG852048 FBC852042:FBC852048 FKY852042:FKY852048 FUU852042:FUU852048 GEQ852042:GEQ852048 GOM852042:GOM852048 GYI852042:GYI852048 HIE852042:HIE852048 HSA852042:HSA852048 IBW852042:IBW852048 ILS852042:ILS852048 IVO852042:IVO852048 JFK852042:JFK852048 JPG852042:JPG852048 JZC852042:JZC852048 KIY852042:KIY852048 KSU852042:KSU852048 LCQ852042:LCQ852048 LMM852042:LMM852048 LWI852042:LWI852048 MGE852042:MGE852048 MQA852042:MQA852048 MZW852042:MZW852048 NJS852042:NJS852048 NTO852042:NTO852048 ODK852042:ODK852048 ONG852042:ONG852048 OXC852042:OXC852048 PGY852042:PGY852048 PQU852042:PQU852048 QAQ852042:QAQ852048 QKM852042:QKM852048 QUI852042:QUI852048 REE852042:REE852048 ROA852042:ROA852048 RXW852042:RXW852048 SHS852042:SHS852048 SRO852042:SRO852048 TBK852042:TBK852048 TLG852042:TLG852048 TVC852042:TVC852048 UEY852042:UEY852048 UOU852042:UOU852048 UYQ852042:UYQ852048 VIM852042:VIM852048 VSI852042:VSI852048 WCE852042:WCE852048 WMA852042:WMA852048 WVW852042:WVW852048 O917578:O917584 JK917578:JK917584 TG917578:TG917584 ADC917578:ADC917584 AMY917578:AMY917584 AWU917578:AWU917584 BGQ917578:BGQ917584 BQM917578:BQM917584 CAI917578:CAI917584 CKE917578:CKE917584 CUA917578:CUA917584 DDW917578:DDW917584 DNS917578:DNS917584 DXO917578:DXO917584 EHK917578:EHK917584 ERG917578:ERG917584 FBC917578:FBC917584 FKY917578:FKY917584 FUU917578:FUU917584 GEQ917578:GEQ917584 GOM917578:GOM917584 GYI917578:GYI917584 HIE917578:HIE917584 HSA917578:HSA917584 IBW917578:IBW917584 ILS917578:ILS917584 IVO917578:IVO917584 JFK917578:JFK917584 JPG917578:JPG917584 JZC917578:JZC917584 KIY917578:KIY917584 KSU917578:KSU917584 LCQ917578:LCQ917584 LMM917578:LMM917584 LWI917578:LWI917584 MGE917578:MGE917584 MQA917578:MQA917584 MZW917578:MZW917584 NJS917578:NJS917584 NTO917578:NTO917584 ODK917578:ODK917584 ONG917578:ONG917584 OXC917578:OXC917584 PGY917578:PGY917584 PQU917578:PQU917584 QAQ917578:QAQ917584 QKM917578:QKM917584 QUI917578:QUI917584 REE917578:REE917584 ROA917578:ROA917584 RXW917578:RXW917584 SHS917578:SHS917584 SRO917578:SRO917584 TBK917578:TBK917584 TLG917578:TLG917584 TVC917578:TVC917584 UEY917578:UEY917584 UOU917578:UOU917584 UYQ917578:UYQ917584 VIM917578:VIM917584 VSI917578:VSI917584 WCE917578:WCE917584 WMA917578:WMA917584 WVW917578:WVW917584 O983114:O983120 JK983114:JK983120 TG983114:TG983120 ADC983114:ADC983120 AMY983114:AMY983120 AWU983114:AWU983120 BGQ983114:BGQ983120 BQM983114:BQM983120 CAI983114:CAI983120 CKE983114:CKE983120 CUA983114:CUA983120 DDW983114:DDW983120 DNS983114:DNS983120 DXO983114:DXO983120 EHK983114:EHK983120 ERG983114:ERG983120 FBC983114:FBC983120 FKY983114:FKY983120 FUU983114:FUU983120 GEQ983114:GEQ983120 GOM983114:GOM983120 GYI983114:GYI983120 HIE983114:HIE983120 HSA983114:HSA983120 IBW983114:IBW983120 ILS983114:ILS983120 IVO983114:IVO983120 JFK983114:JFK983120 JPG983114:JPG983120 JZC983114:JZC983120 KIY983114:KIY983120 KSU983114:KSU983120 LCQ983114:LCQ983120 LMM983114:LMM983120 LWI983114:LWI983120 MGE983114:MGE983120 MQA983114:MQA983120 MZW983114:MZW983120 NJS983114:NJS983120 NTO983114:NTO983120 ODK983114:ODK983120 ONG983114:ONG983120 OXC983114:OXC983120 PGY983114:PGY983120 PQU983114:PQU983120 QAQ983114:QAQ983120 QKM983114:QKM983120 QUI983114:QUI983120 REE983114:REE983120 ROA983114:ROA983120 RXW983114:RXW983120 SHS983114:SHS983120 SRO983114:SRO983120 TBK983114:TBK983120 TLG983114:TLG983120 TVC983114:TVC983120 UEY983114:UEY983120 UOU983114:UOU983120 UYQ983114:UYQ983120 VIM983114:VIM983120 VSI983114:VSI983120 WCE983114:WCE983120 WMA983114:WMA983120 WVW983114:WVW983120 DNS71:DNS77 JR68:JR69 TN68:TN69 ADJ68:ADJ69 ANF68:ANF69 AXB68:AXB69 BGX68:BGX69 BQT68:BQT69 CAP68:CAP69 CKL68:CKL69 CUH68:CUH69 DED68:DED69 DNZ68:DNZ69 DXV68:DXV69 EHR68:EHR69 ERN68:ERN69 FBJ68:FBJ69 FLF68:FLF69 FVB68:FVB69 GEX68:GEX69 GOT68:GOT69 GYP68:GYP69 HIL68:HIL69 HSH68:HSH69 ICD68:ICD69 ILZ68:ILZ69 IVV68:IVV69 JFR68:JFR69 JPN68:JPN69 JZJ68:JZJ69 KJF68:KJF69 KTB68:KTB69 LCX68:LCX69 LMT68:LMT69 LWP68:LWP69 MGL68:MGL69 MQH68:MQH69 NAD68:NAD69 NJZ68:NJZ69 NTV68:NTV69 ODR68:ODR69 ONN68:ONN69 OXJ68:OXJ69 PHF68:PHF69 PRB68:PRB69 QAX68:QAX69 QKT68:QKT69 QUP68:QUP69 REL68:REL69 ROH68:ROH69 RYD68:RYD69 SHZ68:SHZ69 SRV68:SRV69 TBR68:TBR69 TLN68:TLN69 TVJ68:TVJ69 UFF68:UFF69 UPB68:UPB69 UYX68:UYX69 VIT68:VIT69 VSP68:VSP69 WCL68:WCL69 WMH68:WMH69 WWD68:WWD69 V65607:V65608 JR65607:JR65608 TN65607:TN65608 ADJ65607:ADJ65608 ANF65607:ANF65608 AXB65607:AXB65608 BGX65607:BGX65608 BQT65607:BQT65608 CAP65607:CAP65608 CKL65607:CKL65608 CUH65607:CUH65608 DED65607:DED65608 DNZ65607:DNZ65608 DXV65607:DXV65608 EHR65607:EHR65608 ERN65607:ERN65608 FBJ65607:FBJ65608 FLF65607:FLF65608 FVB65607:FVB65608 GEX65607:GEX65608 GOT65607:GOT65608 GYP65607:GYP65608 HIL65607:HIL65608 HSH65607:HSH65608 ICD65607:ICD65608 ILZ65607:ILZ65608 IVV65607:IVV65608 JFR65607:JFR65608 JPN65607:JPN65608 JZJ65607:JZJ65608 KJF65607:KJF65608 KTB65607:KTB65608 LCX65607:LCX65608 LMT65607:LMT65608 LWP65607:LWP65608 MGL65607:MGL65608 MQH65607:MQH65608 NAD65607:NAD65608 NJZ65607:NJZ65608 NTV65607:NTV65608 ODR65607:ODR65608 ONN65607:ONN65608 OXJ65607:OXJ65608 PHF65607:PHF65608 PRB65607:PRB65608 QAX65607:QAX65608 QKT65607:QKT65608 QUP65607:QUP65608 REL65607:REL65608 ROH65607:ROH65608 RYD65607:RYD65608 SHZ65607:SHZ65608 SRV65607:SRV65608 TBR65607:TBR65608 TLN65607:TLN65608 TVJ65607:TVJ65608 UFF65607:UFF65608 UPB65607:UPB65608 UYX65607:UYX65608 VIT65607:VIT65608 VSP65607:VSP65608 WCL65607:WCL65608 WMH65607:WMH65608 WWD65607:WWD65608 V131143:V131144 JR131143:JR131144 TN131143:TN131144 ADJ131143:ADJ131144 ANF131143:ANF131144 AXB131143:AXB131144 BGX131143:BGX131144 BQT131143:BQT131144 CAP131143:CAP131144 CKL131143:CKL131144 CUH131143:CUH131144 DED131143:DED131144 DNZ131143:DNZ131144 DXV131143:DXV131144 EHR131143:EHR131144 ERN131143:ERN131144 FBJ131143:FBJ131144 FLF131143:FLF131144 FVB131143:FVB131144 GEX131143:GEX131144 GOT131143:GOT131144 GYP131143:GYP131144 HIL131143:HIL131144 HSH131143:HSH131144 ICD131143:ICD131144 ILZ131143:ILZ131144 IVV131143:IVV131144 JFR131143:JFR131144 JPN131143:JPN131144 JZJ131143:JZJ131144 KJF131143:KJF131144 KTB131143:KTB131144 LCX131143:LCX131144 LMT131143:LMT131144 LWP131143:LWP131144 MGL131143:MGL131144 MQH131143:MQH131144 NAD131143:NAD131144 NJZ131143:NJZ131144 NTV131143:NTV131144 ODR131143:ODR131144 ONN131143:ONN131144 OXJ131143:OXJ131144 PHF131143:PHF131144 PRB131143:PRB131144 QAX131143:QAX131144 QKT131143:QKT131144 QUP131143:QUP131144 REL131143:REL131144 ROH131143:ROH131144 RYD131143:RYD131144 SHZ131143:SHZ131144 SRV131143:SRV131144 TBR131143:TBR131144 TLN131143:TLN131144 TVJ131143:TVJ131144 UFF131143:UFF131144 UPB131143:UPB131144 UYX131143:UYX131144 VIT131143:VIT131144 VSP131143:VSP131144 WCL131143:WCL131144 WMH131143:WMH131144 WWD131143:WWD131144 V196679:V196680 JR196679:JR196680 TN196679:TN196680 ADJ196679:ADJ196680 ANF196679:ANF196680 AXB196679:AXB196680 BGX196679:BGX196680 BQT196679:BQT196680 CAP196679:CAP196680 CKL196679:CKL196680 CUH196679:CUH196680 DED196679:DED196680 DNZ196679:DNZ196680 DXV196679:DXV196680 EHR196679:EHR196680 ERN196679:ERN196680 FBJ196679:FBJ196680 FLF196679:FLF196680 FVB196679:FVB196680 GEX196679:GEX196680 GOT196679:GOT196680 GYP196679:GYP196680 HIL196679:HIL196680 HSH196679:HSH196680 ICD196679:ICD196680 ILZ196679:ILZ196680 IVV196679:IVV196680 JFR196679:JFR196680 JPN196679:JPN196680 JZJ196679:JZJ196680 KJF196679:KJF196680 KTB196679:KTB196680 LCX196679:LCX196680 LMT196679:LMT196680 LWP196679:LWP196680 MGL196679:MGL196680 MQH196679:MQH196680 NAD196679:NAD196680 NJZ196679:NJZ196680 NTV196679:NTV196680 ODR196679:ODR196680 ONN196679:ONN196680 OXJ196679:OXJ196680 PHF196679:PHF196680 PRB196679:PRB196680 QAX196679:QAX196680 QKT196679:QKT196680 QUP196679:QUP196680 REL196679:REL196680 ROH196679:ROH196680 RYD196679:RYD196680 SHZ196679:SHZ196680 SRV196679:SRV196680 TBR196679:TBR196680 TLN196679:TLN196680 TVJ196679:TVJ196680 UFF196679:UFF196680 UPB196679:UPB196680 UYX196679:UYX196680 VIT196679:VIT196680 VSP196679:VSP196680 WCL196679:WCL196680 WMH196679:WMH196680 WWD196679:WWD196680 V262215:V262216 JR262215:JR262216 TN262215:TN262216 ADJ262215:ADJ262216 ANF262215:ANF262216 AXB262215:AXB262216 BGX262215:BGX262216 BQT262215:BQT262216 CAP262215:CAP262216 CKL262215:CKL262216 CUH262215:CUH262216 DED262215:DED262216 DNZ262215:DNZ262216 DXV262215:DXV262216 EHR262215:EHR262216 ERN262215:ERN262216 FBJ262215:FBJ262216 FLF262215:FLF262216 FVB262215:FVB262216 GEX262215:GEX262216 GOT262215:GOT262216 GYP262215:GYP262216 HIL262215:HIL262216 HSH262215:HSH262216 ICD262215:ICD262216 ILZ262215:ILZ262216 IVV262215:IVV262216 JFR262215:JFR262216 JPN262215:JPN262216 JZJ262215:JZJ262216 KJF262215:KJF262216 KTB262215:KTB262216 LCX262215:LCX262216 LMT262215:LMT262216 LWP262215:LWP262216 MGL262215:MGL262216 MQH262215:MQH262216 NAD262215:NAD262216 NJZ262215:NJZ262216 NTV262215:NTV262216 ODR262215:ODR262216 ONN262215:ONN262216 OXJ262215:OXJ262216 PHF262215:PHF262216 PRB262215:PRB262216 QAX262215:QAX262216 QKT262215:QKT262216 QUP262215:QUP262216 REL262215:REL262216 ROH262215:ROH262216 RYD262215:RYD262216 SHZ262215:SHZ262216 SRV262215:SRV262216 TBR262215:TBR262216 TLN262215:TLN262216 TVJ262215:TVJ262216 UFF262215:UFF262216 UPB262215:UPB262216 UYX262215:UYX262216 VIT262215:VIT262216 VSP262215:VSP262216 WCL262215:WCL262216 WMH262215:WMH262216 WWD262215:WWD262216 V327751:V327752 JR327751:JR327752 TN327751:TN327752 ADJ327751:ADJ327752 ANF327751:ANF327752 AXB327751:AXB327752 BGX327751:BGX327752 BQT327751:BQT327752 CAP327751:CAP327752 CKL327751:CKL327752 CUH327751:CUH327752 DED327751:DED327752 DNZ327751:DNZ327752 DXV327751:DXV327752 EHR327751:EHR327752 ERN327751:ERN327752 FBJ327751:FBJ327752 FLF327751:FLF327752 FVB327751:FVB327752 GEX327751:GEX327752 GOT327751:GOT327752 GYP327751:GYP327752 HIL327751:HIL327752 HSH327751:HSH327752 ICD327751:ICD327752 ILZ327751:ILZ327752 IVV327751:IVV327752 JFR327751:JFR327752 JPN327751:JPN327752 JZJ327751:JZJ327752 KJF327751:KJF327752 KTB327751:KTB327752 LCX327751:LCX327752 LMT327751:LMT327752 LWP327751:LWP327752 MGL327751:MGL327752 MQH327751:MQH327752 NAD327751:NAD327752 NJZ327751:NJZ327752 NTV327751:NTV327752 ODR327751:ODR327752 ONN327751:ONN327752 OXJ327751:OXJ327752 PHF327751:PHF327752 PRB327751:PRB327752 QAX327751:QAX327752 QKT327751:QKT327752 QUP327751:QUP327752 REL327751:REL327752 ROH327751:ROH327752 RYD327751:RYD327752 SHZ327751:SHZ327752 SRV327751:SRV327752 TBR327751:TBR327752 TLN327751:TLN327752 TVJ327751:TVJ327752 UFF327751:UFF327752 UPB327751:UPB327752 UYX327751:UYX327752 VIT327751:VIT327752 VSP327751:VSP327752 WCL327751:WCL327752 WMH327751:WMH327752 WWD327751:WWD327752 V393287:V393288 JR393287:JR393288 TN393287:TN393288 ADJ393287:ADJ393288 ANF393287:ANF393288 AXB393287:AXB393288 BGX393287:BGX393288 BQT393287:BQT393288 CAP393287:CAP393288 CKL393287:CKL393288 CUH393287:CUH393288 DED393287:DED393288 DNZ393287:DNZ393288 DXV393287:DXV393288 EHR393287:EHR393288 ERN393287:ERN393288 FBJ393287:FBJ393288 FLF393287:FLF393288 FVB393287:FVB393288 GEX393287:GEX393288 GOT393287:GOT393288 GYP393287:GYP393288 HIL393287:HIL393288 HSH393287:HSH393288 ICD393287:ICD393288 ILZ393287:ILZ393288 IVV393287:IVV393288 JFR393287:JFR393288 JPN393287:JPN393288 JZJ393287:JZJ393288 KJF393287:KJF393288 KTB393287:KTB393288 LCX393287:LCX393288 LMT393287:LMT393288 LWP393287:LWP393288 MGL393287:MGL393288 MQH393287:MQH393288 NAD393287:NAD393288 NJZ393287:NJZ393288 NTV393287:NTV393288 ODR393287:ODR393288 ONN393287:ONN393288 OXJ393287:OXJ393288 PHF393287:PHF393288 PRB393287:PRB393288 QAX393287:QAX393288 QKT393287:QKT393288 QUP393287:QUP393288 REL393287:REL393288 ROH393287:ROH393288 RYD393287:RYD393288 SHZ393287:SHZ393288 SRV393287:SRV393288 TBR393287:TBR393288 TLN393287:TLN393288 TVJ393287:TVJ393288 UFF393287:UFF393288 UPB393287:UPB393288 UYX393287:UYX393288 VIT393287:VIT393288 VSP393287:VSP393288 WCL393287:WCL393288 WMH393287:WMH393288 WWD393287:WWD393288 V458823:V458824 JR458823:JR458824 TN458823:TN458824 ADJ458823:ADJ458824 ANF458823:ANF458824 AXB458823:AXB458824 BGX458823:BGX458824 BQT458823:BQT458824 CAP458823:CAP458824 CKL458823:CKL458824 CUH458823:CUH458824 DED458823:DED458824 DNZ458823:DNZ458824 DXV458823:DXV458824 EHR458823:EHR458824 ERN458823:ERN458824 FBJ458823:FBJ458824 FLF458823:FLF458824 FVB458823:FVB458824 GEX458823:GEX458824 GOT458823:GOT458824 GYP458823:GYP458824 HIL458823:HIL458824 HSH458823:HSH458824 ICD458823:ICD458824 ILZ458823:ILZ458824 IVV458823:IVV458824 JFR458823:JFR458824 JPN458823:JPN458824 JZJ458823:JZJ458824 KJF458823:KJF458824 KTB458823:KTB458824 LCX458823:LCX458824 LMT458823:LMT458824 LWP458823:LWP458824 MGL458823:MGL458824 MQH458823:MQH458824 NAD458823:NAD458824 NJZ458823:NJZ458824 NTV458823:NTV458824 ODR458823:ODR458824 ONN458823:ONN458824 OXJ458823:OXJ458824 PHF458823:PHF458824 PRB458823:PRB458824 QAX458823:QAX458824 QKT458823:QKT458824 QUP458823:QUP458824 REL458823:REL458824 ROH458823:ROH458824 RYD458823:RYD458824 SHZ458823:SHZ458824 SRV458823:SRV458824 TBR458823:TBR458824 TLN458823:TLN458824 TVJ458823:TVJ458824 UFF458823:UFF458824 UPB458823:UPB458824 UYX458823:UYX458824 VIT458823:VIT458824 VSP458823:VSP458824 WCL458823:WCL458824 WMH458823:WMH458824 WWD458823:WWD458824 V524359:V524360 JR524359:JR524360 TN524359:TN524360 ADJ524359:ADJ524360 ANF524359:ANF524360 AXB524359:AXB524360 BGX524359:BGX524360 BQT524359:BQT524360 CAP524359:CAP524360 CKL524359:CKL524360 CUH524359:CUH524360 DED524359:DED524360 DNZ524359:DNZ524360 DXV524359:DXV524360 EHR524359:EHR524360 ERN524359:ERN524360 FBJ524359:FBJ524360 FLF524359:FLF524360 FVB524359:FVB524360 GEX524359:GEX524360 GOT524359:GOT524360 GYP524359:GYP524360 HIL524359:HIL524360 HSH524359:HSH524360 ICD524359:ICD524360 ILZ524359:ILZ524360 IVV524359:IVV524360 JFR524359:JFR524360 JPN524359:JPN524360 JZJ524359:JZJ524360 KJF524359:KJF524360 KTB524359:KTB524360 LCX524359:LCX524360 LMT524359:LMT524360 LWP524359:LWP524360 MGL524359:MGL524360 MQH524359:MQH524360 NAD524359:NAD524360 NJZ524359:NJZ524360 NTV524359:NTV524360 ODR524359:ODR524360 ONN524359:ONN524360 OXJ524359:OXJ524360 PHF524359:PHF524360 PRB524359:PRB524360 QAX524359:QAX524360 QKT524359:QKT524360 QUP524359:QUP524360 REL524359:REL524360 ROH524359:ROH524360 RYD524359:RYD524360 SHZ524359:SHZ524360 SRV524359:SRV524360 TBR524359:TBR524360 TLN524359:TLN524360 TVJ524359:TVJ524360 UFF524359:UFF524360 UPB524359:UPB524360 UYX524359:UYX524360 VIT524359:VIT524360 VSP524359:VSP524360 WCL524359:WCL524360 WMH524359:WMH524360 WWD524359:WWD524360 V589895:V589896 JR589895:JR589896 TN589895:TN589896 ADJ589895:ADJ589896 ANF589895:ANF589896 AXB589895:AXB589896 BGX589895:BGX589896 BQT589895:BQT589896 CAP589895:CAP589896 CKL589895:CKL589896 CUH589895:CUH589896 DED589895:DED589896 DNZ589895:DNZ589896 DXV589895:DXV589896 EHR589895:EHR589896 ERN589895:ERN589896 FBJ589895:FBJ589896 FLF589895:FLF589896 FVB589895:FVB589896 GEX589895:GEX589896 GOT589895:GOT589896 GYP589895:GYP589896 HIL589895:HIL589896 HSH589895:HSH589896 ICD589895:ICD589896 ILZ589895:ILZ589896 IVV589895:IVV589896 JFR589895:JFR589896 JPN589895:JPN589896 JZJ589895:JZJ589896 KJF589895:KJF589896 KTB589895:KTB589896 LCX589895:LCX589896 LMT589895:LMT589896 LWP589895:LWP589896 MGL589895:MGL589896 MQH589895:MQH589896 NAD589895:NAD589896 NJZ589895:NJZ589896 NTV589895:NTV589896 ODR589895:ODR589896 ONN589895:ONN589896 OXJ589895:OXJ589896 PHF589895:PHF589896 PRB589895:PRB589896 QAX589895:QAX589896 QKT589895:QKT589896 QUP589895:QUP589896 REL589895:REL589896 ROH589895:ROH589896 RYD589895:RYD589896 SHZ589895:SHZ589896 SRV589895:SRV589896 TBR589895:TBR589896 TLN589895:TLN589896 TVJ589895:TVJ589896 UFF589895:UFF589896 UPB589895:UPB589896 UYX589895:UYX589896 VIT589895:VIT589896 VSP589895:VSP589896 WCL589895:WCL589896 WMH589895:WMH589896 WWD589895:WWD589896 V655431:V655432 JR655431:JR655432 TN655431:TN655432 ADJ655431:ADJ655432 ANF655431:ANF655432 AXB655431:AXB655432 BGX655431:BGX655432 BQT655431:BQT655432 CAP655431:CAP655432 CKL655431:CKL655432 CUH655431:CUH655432 DED655431:DED655432 DNZ655431:DNZ655432 DXV655431:DXV655432 EHR655431:EHR655432 ERN655431:ERN655432 FBJ655431:FBJ655432 FLF655431:FLF655432 FVB655431:FVB655432 GEX655431:GEX655432 GOT655431:GOT655432 GYP655431:GYP655432 HIL655431:HIL655432 HSH655431:HSH655432 ICD655431:ICD655432 ILZ655431:ILZ655432 IVV655431:IVV655432 JFR655431:JFR655432 JPN655431:JPN655432 JZJ655431:JZJ655432 KJF655431:KJF655432 KTB655431:KTB655432 LCX655431:LCX655432 LMT655431:LMT655432 LWP655431:LWP655432 MGL655431:MGL655432 MQH655431:MQH655432 NAD655431:NAD655432 NJZ655431:NJZ655432 NTV655431:NTV655432 ODR655431:ODR655432 ONN655431:ONN655432 OXJ655431:OXJ655432 PHF655431:PHF655432 PRB655431:PRB655432 QAX655431:QAX655432 QKT655431:QKT655432 QUP655431:QUP655432 REL655431:REL655432 ROH655431:ROH655432 RYD655431:RYD655432 SHZ655431:SHZ655432 SRV655431:SRV655432 TBR655431:TBR655432 TLN655431:TLN655432 TVJ655431:TVJ655432 UFF655431:UFF655432 UPB655431:UPB655432 UYX655431:UYX655432 VIT655431:VIT655432 VSP655431:VSP655432 WCL655431:WCL655432 WMH655431:WMH655432 WWD655431:WWD655432 V720967:V720968 JR720967:JR720968 TN720967:TN720968 ADJ720967:ADJ720968 ANF720967:ANF720968 AXB720967:AXB720968 BGX720967:BGX720968 BQT720967:BQT720968 CAP720967:CAP720968 CKL720967:CKL720968 CUH720967:CUH720968 DED720967:DED720968 DNZ720967:DNZ720968 DXV720967:DXV720968 EHR720967:EHR720968 ERN720967:ERN720968 FBJ720967:FBJ720968 FLF720967:FLF720968 FVB720967:FVB720968 GEX720967:GEX720968 GOT720967:GOT720968 GYP720967:GYP720968 HIL720967:HIL720968 HSH720967:HSH720968 ICD720967:ICD720968 ILZ720967:ILZ720968 IVV720967:IVV720968 JFR720967:JFR720968 JPN720967:JPN720968 JZJ720967:JZJ720968 KJF720967:KJF720968 KTB720967:KTB720968 LCX720967:LCX720968 LMT720967:LMT720968 LWP720967:LWP720968 MGL720967:MGL720968 MQH720967:MQH720968 NAD720967:NAD720968 NJZ720967:NJZ720968 NTV720967:NTV720968 ODR720967:ODR720968 ONN720967:ONN720968 OXJ720967:OXJ720968 PHF720967:PHF720968 PRB720967:PRB720968 QAX720967:QAX720968 QKT720967:QKT720968 QUP720967:QUP720968 REL720967:REL720968 ROH720967:ROH720968 RYD720967:RYD720968 SHZ720967:SHZ720968 SRV720967:SRV720968 TBR720967:TBR720968 TLN720967:TLN720968 TVJ720967:TVJ720968 UFF720967:UFF720968 UPB720967:UPB720968 UYX720967:UYX720968 VIT720967:VIT720968 VSP720967:VSP720968 WCL720967:WCL720968 WMH720967:WMH720968 WWD720967:WWD720968 V786503:V786504 JR786503:JR786504 TN786503:TN786504 ADJ786503:ADJ786504 ANF786503:ANF786504 AXB786503:AXB786504 BGX786503:BGX786504 BQT786503:BQT786504 CAP786503:CAP786504 CKL786503:CKL786504 CUH786503:CUH786504 DED786503:DED786504 DNZ786503:DNZ786504 DXV786503:DXV786504 EHR786503:EHR786504 ERN786503:ERN786504 FBJ786503:FBJ786504 FLF786503:FLF786504 FVB786503:FVB786504 GEX786503:GEX786504 GOT786503:GOT786504 GYP786503:GYP786504 HIL786503:HIL786504 HSH786503:HSH786504 ICD786503:ICD786504 ILZ786503:ILZ786504 IVV786503:IVV786504 JFR786503:JFR786504 JPN786503:JPN786504 JZJ786503:JZJ786504 KJF786503:KJF786504 KTB786503:KTB786504 LCX786503:LCX786504 LMT786503:LMT786504 LWP786503:LWP786504 MGL786503:MGL786504 MQH786503:MQH786504 NAD786503:NAD786504 NJZ786503:NJZ786504 NTV786503:NTV786504 ODR786503:ODR786504 ONN786503:ONN786504 OXJ786503:OXJ786504 PHF786503:PHF786504 PRB786503:PRB786504 QAX786503:QAX786504 QKT786503:QKT786504 QUP786503:QUP786504 REL786503:REL786504 ROH786503:ROH786504 RYD786503:RYD786504 SHZ786503:SHZ786504 SRV786503:SRV786504 TBR786503:TBR786504 TLN786503:TLN786504 TVJ786503:TVJ786504 UFF786503:UFF786504 UPB786503:UPB786504 UYX786503:UYX786504 VIT786503:VIT786504 VSP786503:VSP786504 WCL786503:WCL786504 WMH786503:WMH786504 WWD786503:WWD786504 V852039:V852040 JR852039:JR852040 TN852039:TN852040 ADJ852039:ADJ852040 ANF852039:ANF852040 AXB852039:AXB852040 BGX852039:BGX852040 BQT852039:BQT852040 CAP852039:CAP852040 CKL852039:CKL852040 CUH852039:CUH852040 DED852039:DED852040 DNZ852039:DNZ852040 DXV852039:DXV852040 EHR852039:EHR852040 ERN852039:ERN852040 FBJ852039:FBJ852040 FLF852039:FLF852040 FVB852039:FVB852040 GEX852039:GEX852040 GOT852039:GOT852040 GYP852039:GYP852040 HIL852039:HIL852040 HSH852039:HSH852040 ICD852039:ICD852040 ILZ852039:ILZ852040 IVV852039:IVV852040 JFR852039:JFR852040 JPN852039:JPN852040 JZJ852039:JZJ852040 KJF852039:KJF852040 KTB852039:KTB852040 LCX852039:LCX852040 LMT852039:LMT852040 LWP852039:LWP852040 MGL852039:MGL852040 MQH852039:MQH852040 NAD852039:NAD852040 NJZ852039:NJZ852040 NTV852039:NTV852040 ODR852039:ODR852040 ONN852039:ONN852040 OXJ852039:OXJ852040 PHF852039:PHF852040 PRB852039:PRB852040 QAX852039:QAX852040 QKT852039:QKT852040 QUP852039:QUP852040 REL852039:REL852040 ROH852039:ROH852040 RYD852039:RYD852040 SHZ852039:SHZ852040 SRV852039:SRV852040 TBR852039:TBR852040 TLN852039:TLN852040 TVJ852039:TVJ852040 UFF852039:UFF852040 UPB852039:UPB852040 UYX852039:UYX852040 VIT852039:VIT852040 VSP852039:VSP852040 WCL852039:WCL852040 WMH852039:WMH852040 WWD852039:WWD852040 V917575:V917576 JR917575:JR917576 TN917575:TN917576 ADJ917575:ADJ917576 ANF917575:ANF917576 AXB917575:AXB917576 BGX917575:BGX917576 BQT917575:BQT917576 CAP917575:CAP917576 CKL917575:CKL917576 CUH917575:CUH917576 DED917575:DED917576 DNZ917575:DNZ917576 DXV917575:DXV917576 EHR917575:EHR917576 ERN917575:ERN917576 FBJ917575:FBJ917576 FLF917575:FLF917576 FVB917575:FVB917576 GEX917575:GEX917576 GOT917575:GOT917576 GYP917575:GYP917576 HIL917575:HIL917576 HSH917575:HSH917576 ICD917575:ICD917576 ILZ917575:ILZ917576 IVV917575:IVV917576 JFR917575:JFR917576 JPN917575:JPN917576 JZJ917575:JZJ917576 KJF917575:KJF917576 KTB917575:KTB917576 LCX917575:LCX917576 LMT917575:LMT917576 LWP917575:LWP917576 MGL917575:MGL917576 MQH917575:MQH917576 NAD917575:NAD917576 NJZ917575:NJZ917576 NTV917575:NTV917576 ODR917575:ODR917576 ONN917575:ONN917576 OXJ917575:OXJ917576 PHF917575:PHF917576 PRB917575:PRB917576 QAX917575:QAX917576 QKT917575:QKT917576 QUP917575:QUP917576 REL917575:REL917576 ROH917575:ROH917576 RYD917575:RYD917576 SHZ917575:SHZ917576 SRV917575:SRV917576 TBR917575:TBR917576 TLN917575:TLN917576 TVJ917575:TVJ917576 UFF917575:UFF917576 UPB917575:UPB917576 UYX917575:UYX917576 VIT917575:VIT917576 VSP917575:VSP917576 WCL917575:WCL917576 WMH917575:WMH917576 WWD917575:WWD917576 V983111:V983112 JR983111:JR983112 TN983111:TN983112 ADJ983111:ADJ983112 ANF983111:ANF983112 AXB983111:AXB983112 BGX983111:BGX983112 BQT983111:BQT983112 CAP983111:CAP983112 CKL983111:CKL983112 CUH983111:CUH983112 DED983111:DED983112 DNZ983111:DNZ983112 DXV983111:DXV983112 EHR983111:EHR983112 ERN983111:ERN983112 FBJ983111:FBJ983112 FLF983111:FLF983112 FVB983111:FVB983112 GEX983111:GEX983112 GOT983111:GOT983112 GYP983111:GYP983112 HIL983111:HIL983112 HSH983111:HSH983112 ICD983111:ICD983112 ILZ983111:ILZ983112 IVV983111:IVV983112 JFR983111:JFR983112 JPN983111:JPN983112 JZJ983111:JZJ983112 KJF983111:KJF983112 KTB983111:KTB983112 LCX983111:LCX983112 LMT983111:LMT983112 LWP983111:LWP983112 MGL983111:MGL983112 MQH983111:MQH983112 NAD983111:NAD983112 NJZ983111:NJZ983112 NTV983111:NTV983112 ODR983111:ODR983112 ONN983111:ONN983112 OXJ983111:OXJ983112 PHF983111:PHF983112 PRB983111:PRB983112 QAX983111:QAX983112 QKT983111:QKT983112 QUP983111:QUP983112 REL983111:REL983112 ROH983111:ROH983112 RYD983111:RYD983112 SHZ983111:SHZ983112 SRV983111:SRV983112 TBR983111:TBR983112 TLN983111:TLN983112 TVJ983111:TVJ983112 UFF983111:UFF983112 UPB983111:UPB983112 UYX983111:UYX983112 VIT983111:VIT983112 VSP983111:VSP983112 WCL983111:WCL983112 WMH983111:WMH983112 WWD983111:WWD983112 RXO983143 V65610:V65616 JR65610:JR65616 TN65610:TN65616 ADJ65610:ADJ65616 ANF65610:ANF65616 AXB65610:AXB65616 BGX65610:BGX65616 BQT65610:BQT65616 CAP65610:CAP65616 CKL65610:CKL65616 CUH65610:CUH65616 DED65610:DED65616 DNZ65610:DNZ65616 DXV65610:DXV65616 EHR65610:EHR65616 ERN65610:ERN65616 FBJ65610:FBJ65616 FLF65610:FLF65616 FVB65610:FVB65616 GEX65610:GEX65616 GOT65610:GOT65616 GYP65610:GYP65616 HIL65610:HIL65616 HSH65610:HSH65616 ICD65610:ICD65616 ILZ65610:ILZ65616 IVV65610:IVV65616 JFR65610:JFR65616 JPN65610:JPN65616 JZJ65610:JZJ65616 KJF65610:KJF65616 KTB65610:KTB65616 LCX65610:LCX65616 LMT65610:LMT65616 LWP65610:LWP65616 MGL65610:MGL65616 MQH65610:MQH65616 NAD65610:NAD65616 NJZ65610:NJZ65616 NTV65610:NTV65616 ODR65610:ODR65616 ONN65610:ONN65616 OXJ65610:OXJ65616 PHF65610:PHF65616 PRB65610:PRB65616 QAX65610:QAX65616 QKT65610:QKT65616 QUP65610:QUP65616 REL65610:REL65616 ROH65610:ROH65616 RYD65610:RYD65616 SHZ65610:SHZ65616 SRV65610:SRV65616 TBR65610:TBR65616 TLN65610:TLN65616 TVJ65610:TVJ65616 UFF65610:UFF65616 UPB65610:UPB65616 UYX65610:UYX65616 VIT65610:VIT65616 VSP65610:VSP65616 WCL65610:WCL65616 WMH65610:WMH65616 WWD65610:WWD65616 V131146:V131152 JR131146:JR131152 TN131146:TN131152 ADJ131146:ADJ131152 ANF131146:ANF131152 AXB131146:AXB131152 BGX131146:BGX131152 BQT131146:BQT131152 CAP131146:CAP131152 CKL131146:CKL131152 CUH131146:CUH131152 DED131146:DED131152 DNZ131146:DNZ131152 DXV131146:DXV131152 EHR131146:EHR131152 ERN131146:ERN131152 FBJ131146:FBJ131152 FLF131146:FLF131152 FVB131146:FVB131152 GEX131146:GEX131152 GOT131146:GOT131152 GYP131146:GYP131152 HIL131146:HIL131152 HSH131146:HSH131152 ICD131146:ICD131152 ILZ131146:ILZ131152 IVV131146:IVV131152 JFR131146:JFR131152 JPN131146:JPN131152 JZJ131146:JZJ131152 KJF131146:KJF131152 KTB131146:KTB131152 LCX131146:LCX131152 LMT131146:LMT131152 LWP131146:LWP131152 MGL131146:MGL131152 MQH131146:MQH131152 NAD131146:NAD131152 NJZ131146:NJZ131152 NTV131146:NTV131152 ODR131146:ODR131152 ONN131146:ONN131152 OXJ131146:OXJ131152 PHF131146:PHF131152 PRB131146:PRB131152 QAX131146:QAX131152 QKT131146:QKT131152 QUP131146:QUP131152 REL131146:REL131152 ROH131146:ROH131152 RYD131146:RYD131152 SHZ131146:SHZ131152 SRV131146:SRV131152 TBR131146:TBR131152 TLN131146:TLN131152 TVJ131146:TVJ131152 UFF131146:UFF131152 UPB131146:UPB131152 UYX131146:UYX131152 VIT131146:VIT131152 VSP131146:VSP131152 WCL131146:WCL131152 WMH131146:WMH131152 WWD131146:WWD131152 V196682:V196688 JR196682:JR196688 TN196682:TN196688 ADJ196682:ADJ196688 ANF196682:ANF196688 AXB196682:AXB196688 BGX196682:BGX196688 BQT196682:BQT196688 CAP196682:CAP196688 CKL196682:CKL196688 CUH196682:CUH196688 DED196682:DED196688 DNZ196682:DNZ196688 DXV196682:DXV196688 EHR196682:EHR196688 ERN196682:ERN196688 FBJ196682:FBJ196688 FLF196682:FLF196688 FVB196682:FVB196688 GEX196682:GEX196688 GOT196682:GOT196688 GYP196682:GYP196688 HIL196682:HIL196688 HSH196682:HSH196688 ICD196682:ICD196688 ILZ196682:ILZ196688 IVV196682:IVV196688 JFR196682:JFR196688 JPN196682:JPN196688 JZJ196682:JZJ196688 KJF196682:KJF196688 KTB196682:KTB196688 LCX196682:LCX196688 LMT196682:LMT196688 LWP196682:LWP196688 MGL196682:MGL196688 MQH196682:MQH196688 NAD196682:NAD196688 NJZ196682:NJZ196688 NTV196682:NTV196688 ODR196682:ODR196688 ONN196682:ONN196688 OXJ196682:OXJ196688 PHF196682:PHF196688 PRB196682:PRB196688 QAX196682:QAX196688 QKT196682:QKT196688 QUP196682:QUP196688 REL196682:REL196688 ROH196682:ROH196688 RYD196682:RYD196688 SHZ196682:SHZ196688 SRV196682:SRV196688 TBR196682:TBR196688 TLN196682:TLN196688 TVJ196682:TVJ196688 UFF196682:UFF196688 UPB196682:UPB196688 UYX196682:UYX196688 VIT196682:VIT196688 VSP196682:VSP196688 WCL196682:WCL196688 WMH196682:WMH196688 WWD196682:WWD196688 V262218:V262224 JR262218:JR262224 TN262218:TN262224 ADJ262218:ADJ262224 ANF262218:ANF262224 AXB262218:AXB262224 BGX262218:BGX262224 BQT262218:BQT262224 CAP262218:CAP262224 CKL262218:CKL262224 CUH262218:CUH262224 DED262218:DED262224 DNZ262218:DNZ262224 DXV262218:DXV262224 EHR262218:EHR262224 ERN262218:ERN262224 FBJ262218:FBJ262224 FLF262218:FLF262224 FVB262218:FVB262224 GEX262218:GEX262224 GOT262218:GOT262224 GYP262218:GYP262224 HIL262218:HIL262224 HSH262218:HSH262224 ICD262218:ICD262224 ILZ262218:ILZ262224 IVV262218:IVV262224 JFR262218:JFR262224 JPN262218:JPN262224 JZJ262218:JZJ262224 KJF262218:KJF262224 KTB262218:KTB262224 LCX262218:LCX262224 LMT262218:LMT262224 LWP262218:LWP262224 MGL262218:MGL262224 MQH262218:MQH262224 NAD262218:NAD262224 NJZ262218:NJZ262224 NTV262218:NTV262224 ODR262218:ODR262224 ONN262218:ONN262224 OXJ262218:OXJ262224 PHF262218:PHF262224 PRB262218:PRB262224 QAX262218:QAX262224 QKT262218:QKT262224 QUP262218:QUP262224 REL262218:REL262224 ROH262218:ROH262224 RYD262218:RYD262224 SHZ262218:SHZ262224 SRV262218:SRV262224 TBR262218:TBR262224 TLN262218:TLN262224 TVJ262218:TVJ262224 UFF262218:UFF262224 UPB262218:UPB262224 UYX262218:UYX262224 VIT262218:VIT262224 VSP262218:VSP262224 WCL262218:WCL262224 WMH262218:WMH262224 WWD262218:WWD262224 V327754:V327760 JR327754:JR327760 TN327754:TN327760 ADJ327754:ADJ327760 ANF327754:ANF327760 AXB327754:AXB327760 BGX327754:BGX327760 BQT327754:BQT327760 CAP327754:CAP327760 CKL327754:CKL327760 CUH327754:CUH327760 DED327754:DED327760 DNZ327754:DNZ327760 DXV327754:DXV327760 EHR327754:EHR327760 ERN327754:ERN327760 FBJ327754:FBJ327760 FLF327754:FLF327760 FVB327754:FVB327760 GEX327754:GEX327760 GOT327754:GOT327760 GYP327754:GYP327760 HIL327754:HIL327760 HSH327754:HSH327760 ICD327754:ICD327760 ILZ327754:ILZ327760 IVV327754:IVV327760 JFR327754:JFR327760 JPN327754:JPN327760 JZJ327754:JZJ327760 KJF327754:KJF327760 KTB327754:KTB327760 LCX327754:LCX327760 LMT327754:LMT327760 LWP327754:LWP327760 MGL327754:MGL327760 MQH327754:MQH327760 NAD327754:NAD327760 NJZ327754:NJZ327760 NTV327754:NTV327760 ODR327754:ODR327760 ONN327754:ONN327760 OXJ327754:OXJ327760 PHF327754:PHF327760 PRB327754:PRB327760 QAX327754:QAX327760 QKT327754:QKT327760 QUP327754:QUP327760 REL327754:REL327760 ROH327754:ROH327760 RYD327754:RYD327760 SHZ327754:SHZ327760 SRV327754:SRV327760 TBR327754:TBR327760 TLN327754:TLN327760 TVJ327754:TVJ327760 UFF327754:UFF327760 UPB327754:UPB327760 UYX327754:UYX327760 VIT327754:VIT327760 VSP327754:VSP327760 WCL327754:WCL327760 WMH327754:WMH327760 WWD327754:WWD327760 V393290:V393296 JR393290:JR393296 TN393290:TN393296 ADJ393290:ADJ393296 ANF393290:ANF393296 AXB393290:AXB393296 BGX393290:BGX393296 BQT393290:BQT393296 CAP393290:CAP393296 CKL393290:CKL393296 CUH393290:CUH393296 DED393290:DED393296 DNZ393290:DNZ393296 DXV393290:DXV393296 EHR393290:EHR393296 ERN393290:ERN393296 FBJ393290:FBJ393296 FLF393290:FLF393296 FVB393290:FVB393296 GEX393290:GEX393296 GOT393290:GOT393296 GYP393290:GYP393296 HIL393290:HIL393296 HSH393290:HSH393296 ICD393290:ICD393296 ILZ393290:ILZ393296 IVV393290:IVV393296 JFR393290:JFR393296 JPN393290:JPN393296 JZJ393290:JZJ393296 KJF393290:KJF393296 KTB393290:KTB393296 LCX393290:LCX393296 LMT393290:LMT393296 LWP393290:LWP393296 MGL393290:MGL393296 MQH393290:MQH393296 NAD393290:NAD393296 NJZ393290:NJZ393296 NTV393290:NTV393296 ODR393290:ODR393296 ONN393290:ONN393296 OXJ393290:OXJ393296 PHF393290:PHF393296 PRB393290:PRB393296 QAX393290:QAX393296 QKT393290:QKT393296 QUP393290:QUP393296 REL393290:REL393296 ROH393290:ROH393296 RYD393290:RYD393296 SHZ393290:SHZ393296 SRV393290:SRV393296 TBR393290:TBR393296 TLN393290:TLN393296 TVJ393290:TVJ393296 UFF393290:UFF393296 UPB393290:UPB393296 UYX393290:UYX393296 VIT393290:VIT393296 VSP393290:VSP393296 WCL393290:WCL393296 WMH393290:WMH393296 WWD393290:WWD393296 V458826:V458832 JR458826:JR458832 TN458826:TN458832 ADJ458826:ADJ458832 ANF458826:ANF458832 AXB458826:AXB458832 BGX458826:BGX458832 BQT458826:BQT458832 CAP458826:CAP458832 CKL458826:CKL458832 CUH458826:CUH458832 DED458826:DED458832 DNZ458826:DNZ458832 DXV458826:DXV458832 EHR458826:EHR458832 ERN458826:ERN458832 FBJ458826:FBJ458832 FLF458826:FLF458832 FVB458826:FVB458832 GEX458826:GEX458832 GOT458826:GOT458832 GYP458826:GYP458832 HIL458826:HIL458832 HSH458826:HSH458832 ICD458826:ICD458832 ILZ458826:ILZ458832 IVV458826:IVV458832 JFR458826:JFR458832 JPN458826:JPN458832 JZJ458826:JZJ458832 KJF458826:KJF458832 KTB458826:KTB458832 LCX458826:LCX458832 LMT458826:LMT458832 LWP458826:LWP458832 MGL458826:MGL458832 MQH458826:MQH458832 NAD458826:NAD458832 NJZ458826:NJZ458832 NTV458826:NTV458832 ODR458826:ODR458832 ONN458826:ONN458832 OXJ458826:OXJ458832 PHF458826:PHF458832 PRB458826:PRB458832 QAX458826:QAX458832 QKT458826:QKT458832 QUP458826:QUP458832 REL458826:REL458832 ROH458826:ROH458832 RYD458826:RYD458832 SHZ458826:SHZ458832 SRV458826:SRV458832 TBR458826:TBR458832 TLN458826:TLN458832 TVJ458826:TVJ458832 UFF458826:UFF458832 UPB458826:UPB458832 UYX458826:UYX458832 VIT458826:VIT458832 VSP458826:VSP458832 WCL458826:WCL458832 WMH458826:WMH458832 WWD458826:WWD458832 V524362:V524368 JR524362:JR524368 TN524362:TN524368 ADJ524362:ADJ524368 ANF524362:ANF524368 AXB524362:AXB524368 BGX524362:BGX524368 BQT524362:BQT524368 CAP524362:CAP524368 CKL524362:CKL524368 CUH524362:CUH524368 DED524362:DED524368 DNZ524362:DNZ524368 DXV524362:DXV524368 EHR524362:EHR524368 ERN524362:ERN524368 FBJ524362:FBJ524368 FLF524362:FLF524368 FVB524362:FVB524368 GEX524362:GEX524368 GOT524362:GOT524368 GYP524362:GYP524368 HIL524362:HIL524368 HSH524362:HSH524368 ICD524362:ICD524368 ILZ524362:ILZ524368 IVV524362:IVV524368 JFR524362:JFR524368 JPN524362:JPN524368 JZJ524362:JZJ524368 KJF524362:KJF524368 KTB524362:KTB524368 LCX524362:LCX524368 LMT524362:LMT524368 LWP524362:LWP524368 MGL524362:MGL524368 MQH524362:MQH524368 NAD524362:NAD524368 NJZ524362:NJZ524368 NTV524362:NTV524368 ODR524362:ODR524368 ONN524362:ONN524368 OXJ524362:OXJ524368 PHF524362:PHF524368 PRB524362:PRB524368 QAX524362:QAX524368 QKT524362:QKT524368 QUP524362:QUP524368 REL524362:REL524368 ROH524362:ROH524368 RYD524362:RYD524368 SHZ524362:SHZ524368 SRV524362:SRV524368 TBR524362:TBR524368 TLN524362:TLN524368 TVJ524362:TVJ524368 UFF524362:UFF524368 UPB524362:UPB524368 UYX524362:UYX524368 VIT524362:VIT524368 VSP524362:VSP524368 WCL524362:WCL524368 WMH524362:WMH524368 WWD524362:WWD524368 V589898:V589904 JR589898:JR589904 TN589898:TN589904 ADJ589898:ADJ589904 ANF589898:ANF589904 AXB589898:AXB589904 BGX589898:BGX589904 BQT589898:BQT589904 CAP589898:CAP589904 CKL589898:CKL589904 CUH589898:CUH589904 DED589898:DED589904 DNZ589898:DNZ589904 DXV589898:DXV589904 EHR589898:EHR589904 ERN589898:ERN589904 FBJ589898:FBJ589904 FLF589898:FLF589904 FVB589898:FVB589904 GEX589898:GEX589904 GOT589898:GOT589904 GYP589898:GYP589904 HIL589898:HIL589904 HSH589898:HSH589904 ICD589898:ICD589904 ILZ589898:ILZ589904 IVV589898:IVV589904 JFR589898:JFR589904 JPN589898:JPN589904 JZJ589898:JZJ589904 KJF589898:KJF589904 KTB589898:KTB589904 LCX589898:LCX589904 LMT589898:LMT589904 LWP589898:LWP589904 MGL589898:MGL589904 MQH589898:MQH589904 NAD589898:NAD589904 NJZ589898:NJZ589904 NTV589898:NTV589904 ODR589898:ODR589904 ONN589898:ONN589904 OXJ589898:OXJ589904 PHF589898:PHF589904 PRB589898:PRB589904 QAX589898:QAX589904 QKT589898:QKT589904 QUP589898:QUP589904 REL589898:REL589904 ROH589898:ROH589904 RYD589898:RYD589904 SHZ589898:SHZ589904 SRV589898:SRV589904 TBR589898:TBR589904 TLN589898:TLN589904 TVJ589898:TVJ589904 UFF589898:UFF589904 UPB589898:UPB589904 UYX589898:UYX589904 VIT589898:VIT589904 VSP589898:VSP589904 WCL589898:WCL589904 WMH589898:WMH589904 WWD589898:WWD589904 V655434:V655440 JR655434:JR655440 TN655434:TN655440 ADJ655434:ADJ655440 ANF655434:ANF655440 AXB655434:AXB655440 BGX655434:BGX655440 BQT655434:BQT655440 CAP655434:CAP655440 CKL655434:CKL655440 CUH655434:CUH655440 DED655434:DED655440 DNZ655434:DNZ655440 DXV655434:DXV655440 EHR655434:EHR655440 ERN655434:ERN655440 FBJ655434:FBJ655440 FLF655434:FLF655440 FVB655434:FVB655440 GEX655434:GEX655440 GOT655434:GOT655440 GYP655434:GYP655440 HIL655434:HIL655440 HSH655434:HSH655440 ICD655434:ICD655440 ILZ655434:ILZ655440 IVV655434:IVV655440 JFR655434:JFR655440 JPN655434:JPN655440 JZJ655434:JZJ655440 KJF655434:KJF655440 KTB655434:KTB655440 LCX655434:LCX655440 LMT655434:LMT655440 LWP655434:LWP655440 MGL655434:MGL655440 MQH655434:MQH655440 NAD655434:NAD655440 NJZ655434:NJZ655440 NTV655434:NTV655440 ODR655434:ODR655440 ONN655434:ONN655440 OXJ655434:OXJ655440 PHF655434:PHF655440 PRB655434:PRB655440 QAX655434:QAX655440 QKT655434:QKT655440 QUP655434:QUP655440 REL655434:REL655440 ROH655434:ROH655440 RYD655434:RYD655440 SHZ655434:SHZ655440 SRV655434:SRV655440 TBR655434:TBR655440 TLN655434:TLN655440 TVJ655434:TVJ655440 UFF655434:UFF655440 UPB655434:UPB655440 UYX655434:UYX655440 VIT655434:VIT655440 VSP655434:VSP655440 WCL655434:WCL655440 WMH655434:WMH655440 WWD655434:WWD655440 V720970:V720976 JR720970:JR720976 TN720970:TN720976 ADJ720970:ADJ720976 ANF720970:ANF720976 AXB720970:AXB720976 BGX720970:BGX720976 BQT720970:BQT720976 CAP720970:CAP720976 CKL720970:CKL720976 CUH720970:CUH720976 DED720970:DED720976 DNZ720970:DNZ720976 DXV720970:DXV720976 EHR720970:EHR720976 ERN720970:ERN720976 FBJ720970:FBJ720976 FLF720970:FLF720976 FVB720970:FVB720976 GEX720970:GEX720976 GOT720970:GOT720976 GYP720970:GYP720976 HIL720970:HIL720976 HSH720970:HSH720976 ICD720970:ICD720976 ILZ720970:ILZ720976 IVV720970:IVV720976 JFR720970:JFR720976 JPN720970:JPN720976 JZJ720970:JZJ720976 KJF720970:KJF720976 KTB720970:KTB720976 LCX720970:LCX720976 LMT720970:LMT720976 LWP720970:LWP720976 MGL720970:MGL720976 MQH720970:MQH720976 NAD720970:NAD720976 NJZ720970:NJZ720976 NTV720970:NTV720976 ODR720970:ODR720976 ONN720970:ONN720976 OXJ720970:OXJ720976 PHF720970:PHF720976 PRB720970:PRB720976 QAX720970:QAX720976 QKT720970:QKT720976 QUP720970:QUP720976 REL720970:REL720976 ROH720970:ROH720976 RYD720970:RYD720976 SHZ720970:SHZ720976 SRV720970:SRV720976 TBR720970:TBR720976 TLN720970:TLN720976 TVJ720970:TVJ720976 UFF720970:UFF720976 UPB720970:UPB720976 UYX720970:UYX720976 VIT720970:VIT720976 VSP720970:VSP720976 WCL720970:WCL720976 WMH720970:WMH720976 WWD720970:WWD720976 V786506:V786512 JR786506:JR786512 TN786506:TN786512 ADJ786506:ADJ786512 ANF786506:ANF786512 AXB786506:AXB786512 BGX786506:BGX786512 BQT786506:BQT786512 CAP786506:CAP786512 CKL786506:CKL786512 CUH786506:CUH786512 DED786506:DED786512 DNZ786506:DNZ786512 DXV786506:DXV786512 EHR786506:EHR786512 ERN786506:ERN786512 FBJ786506:FBJ786512 FLF786506:FLF786512 FVB786506:FVB786512 GEX786506:GEX786512 GOT786506:GOT786512 GYP786506:GYP786512 HIL786506:HIL786512 HSH786506:HSH786512 ICD786506:ICD786512 ILZ786506:ILZ786512 IVV786506:IVV786512 JFR786506:JFR786512 JPN786506:JPN786512 JZJ786506:JZJ786512 KJF786506:KJF786512 KTB786506:KTB786512 LCX786506:LCX786512 LMT786506:LMT786512 LWP786506:LWP786512 MGL786506:MGL786512 MQH786506:MQH786512 NAD786506:NAD786512 NJZ786506:NJZ786512 NTV786506:NTV786512 ODR786506:ODR786512 ONN786506:ONN786512 OXJ786506:OXJ786512 PHF786506:PHF786512 PRB786506:PRB786512 QAX786506:QAX786512 QKT786506:QKT786512 QUP786506:QUP786512 REL786506:REL786512 ROH786506:ROH786512 RYD786506:RYD786512 SHZ786506:SHZ786512 SRV786506:SRV786512 TBR786506:TBR786512 TLN786506:TLN786512 TVJ786506:TVJ786512 UFF786506:UFF786512 UPB786506:UPB786512 UYX786506:UYX786512 VIT786506:VIT786512 VSP786506:VSP786512 WCL786506:WCL786512 WMH786506:WMH786512 WWD786506:WWD786512 V852042:V852048 JR852042:JR852048 TN852042:TN852048 ADJ852042:ADJ852048 ANF852042:ANF852048 AXB852042:AXB852048 BGX852042:BGX852048 BQT852042:BQT852048 CAP852042:CAP852048 CKL852042:CKL852048 CUH852042:CUH852048 DED852042:DED852048 DNZ852042:DNZ852048 DXV852042:DXV852048 EHR852042:EHR852048 ERN852042:ERN852048 FBJ852042:FBJ852048 FLF852042:FLF852048 FVB852042:FVB852048 GEX852042:GEX852048 GOT852042:GOT852048 GYP852042:GYP852048 HIL852042:HIL852048 HSH852042:HSH852048 ICD852042:ICD852048 ILZ852042:ILZ852048 IVV852042:IVV852048 JFR852042:JFR852048 JPN852042:JPN852048 JZJ852042:JZJ852048 KJF852042:KJF852048 KTB852042:KTB852048 LCX852042:LCX852048 LMT852042:LMT852048 LWP852042:LWP852048 MGL852042:MGL852048 MQH852042:MQH852048 NAD852042:NAD852048 NJZ852042:NJZ852048 NTV852042:NTV852048 ODR852042:ODR852048 ONN852042:ONN852048 OXJ852042:OXJ852048 PHF852042:PHF852048 PRB852042:PRB852048 QAX852042:QAX852048 QKT852042:QKT852048 QUP852042:QUP852048 REL852042:REL852048 ROH852042:ROH852048 RYD852042:RYD852048 SHZ852042:SHZ852048 SRV852042:SRV852048 TBR852042:TBR852048 TLN852042:TLN852048 TVJ852042:TVJ852048 UFF852042:UFF852048 UPB852042:UPB852048 UYX852042:UYX852048 VIT852042:VIT852048 VSP852042:VSP852048 WCL852042:WCL852048 WMH852042:WMH852048 WWD852042:WWD852048 V917578:V917584 JR917578:JR917584 TN917578:TN917584 ADJ917578:ADJ917584 ANF917578:ANF917584 AXB917578:AXB917584 BGX917578:BGX917584 BQT917578:BQT917584 CAP917578:CAP917584 CKL917578:CKL917584 CUH917578:CUH917584 DED917578:DED917584 DNZ917578:DNZ917584 DXV917578:DXV917584 EHR917578:EHR917584 ERN917578:ERN917584 FBJ917578:FBJ917584 FLF917578:FLF917584 FVB917578:FVB917584 GEX917578:GEX917584 GOT917578:GOT917584 GYP917578:GYP917584 HIL917578:HIL917584 HSH917578:HSH917584 ICD917578:ICD917584 ILZ917578:ILZ917584 IVV917578:IVV917584 JFR917578:JFR917584 JPN917578:JPN917584 JZJ917578:JZJ917584 KJF917578:KJF917584 KTB917578:KTB917584 LCX917578:LCX917584 LMT917578:LMT917584 LWP917578:LWP917584 MGL917578:MGL917584 MQH917578:MQH917584 NAD917578:NAD917584 NJZ917578:NJZ917584 NTV917578:NTV917584 ODR917578:ODR917584 ONN917578:ONN917584 OXJ917578:OXJ917584 PHF917578:PHF917584 PRB917578:PRB917584 QAX917578:QAX917584 QKT917578:QKT917584 QUP917578:QUP917584 REL917578:REL917584 ROH917578:ROH917584 RYD917578:RYD917584 SHZ917578:SHZ917584 SRV917578:SRV917584 TBR917578:TBR917584 TLN917578:TLN917584 TVJ917578:TVJ917584 UFF917578:UFF917584 UPB917578:UPB917584 UYX917578:UYX917584 VIT917578:VIT917584 VSP917578:VSP917584 WCL917578:WCL917584 WMH917578:WMH917584 WWD917578:WWD917584 V983114:V983120 JR983114:JR983120 TN983114:TN983120 ADJ983114:ADJ983120 ANF983114:ANF983120 AXB983114:AXB983120 BGX983114:BGX983120 BQT983114:BQT983120 CAP983114:CAP983120 CKL983114:CKL983120 CUH983114:CUH983120 DED983114:DED983120 DNZ983114:DNZ983120 DXV983114:DXV983120 EHR983114:EHR983120 ERN983114:ERN983120 FBJ983114:FBJ983120 FLF983114:FLF983120 FVB983114:FVB983120 GEX983114:GEX983120 GOT983114:GOT983120 GYP983114:GYP983120 HIL983114:HIL983120 HSH983114:HSH983120 ICD983114:ICD983120 ILZ983114:ILZ983120 IVV983114:IVV983120 JFR983114:JFR983120 JPN983114:JPN983120 JZJ983114:JZJ983120 KJF983114:KJF983120 KTB983114:KTB983120 LCX983114:LCX983120 LMT983114:LMT983120 LWP983114:LWP983120 MGL983114:MGL983120 MQH983114:MQH983120 NAD983114:NAD983120 NJZ983114:NJZ983120 NTV983114:NTV983120 ODR983114:ODR983120 ONN983114:ONN983120 OXJ983114:OXJ983120 PHF983114:PHF983120 PRB983114:PRB983120 QAX983114:QAX983120 QKT983114:QKT983120 QUP983114:QUP983120 REL983114:REL983120 ROH983114:ROH983120 RYD983114:RYD983120 SHZ983114:SHZ983120 SRV983114:SRV983120 TBR983114:TBR983120 TLN983114:TLN983120 TVJ983114:TVJ983120 UFF983114:UFF983120 UPB983114:UPB983120 UYX983114:UYX983120 VIT983114:VIT983120 VSP983114:VSP983120 WCL983114:WCL983120 WMH983114:WMH983120 WWD983114:WWD983120 ADC71:ADC77 JD79 SZ79 ACV79 AMR79 AWN79 BGJ79 BQF79 CAB79 CJX79 CTT79 DDP79 DNL79 DXH79 EHD79 EQZ79 FAV79 FKR79 FUN79 GEJ79 GOF79 GYB79 HHX79 HRT79 IBP79 ILL79 IVH79 JFD79 JOZ79 JYV79 KIR79 KSN79 LCJ79 LMF79 LWB79 MFX79 MPT79 MZP79 NJL79 NTH79 ODD79 OMZ79 OWV79 PGR79 PQN79 QAJ79 QKF79 QUB79 RDX79 RNT79 RXP79 SHL79 SRH79 TBD79 TKZ79 TUV79 UER79 UON79 UYJ79 VIF79 VSB79 WBX79 WLT79 WVP79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TG71:TG77 JD81:JD82 SZ81:SZ82 ACV81:ACV82 AMR81:AMR82 AWN81:AWN82 BGJ81:BGJ82 BQF81:BQF82 CAB81:CAB82 CJX81:CJX82 CTT81:CTT82 DDP81:DDP82 DNL81:DNL82 DXH81:DXH82 EHD81:EHD82 EQZ81:EQZ82 FAV81:FAV82 FKR81:FKR82 FUN81:FUN82 GEJ81:GEJ82 GOF81:GOF82 GYB81:GYB82 HHX81:HHX82 HRT81:HRT82 IBP81:IBP82 ILL81:ILL82 IVH81:IVH82 JFD81:JFD82 JOZ81:JOZ82 JYV81:JYV82 KIR81:KIR82 KSN81:KSN82 LCJ81:LCJ82 LMF81:LMF82 LWB81:LWB82 MFX81:MFX82 MPT81:MPT82 MZP81:MZP82 NJL81:NJL82 NTH81:NTH82 ODD81:ODD82 OMZ81:OMZ82 OWV81:OWV82 PGR81:PGR82 PQN81:PQN82 QAJ81:QAJ82 QKF81:QKF82 QUB81:QUB82 RDX81:RDX82 RNT81:RNT82 RXP81:RXP82 SHL81:SHL82 SRH81:SRH82 TBD81:TBD82 TKZ81:TKZ82 TUV81:TUV82 UER81:UER82 UON81:UON82 UYJ81:UYJ82 VIF81:VIF82 VSB81:VSB82 WBX81:WBX82 WLT81:WLT82 WVP81:WVP82 H65620:H65621 JD65620:JD65621 SZ65620:SZ65621 ACV65620:ACV65621 AMR65620:AMR65621 AWN65620:AWN65621 BGJ65620:BGJ65621 BQF65620:BQF65621 CAB65620:CAB65621 CJX65620:CJX65621 CTT65620:CTT65621 DDP65620:DDP65621 DNL65620:DNL65621 DXH65620:DXH65621 EHD65620:EHD65621 EQZ65620:EQZ65621 FAV65620:FAV65621 FKR65620:FKR65621 FUN65620:FUN65621 GEJ65620:GEJ65621 GOF65620:GOF65621 GYB65620:GYB65621 HHX65620:HHX65621 HRT65620:HRT65621 IBP65620:IBP65621 ILL65620:ILL65621 IVH65620:IVH65621 JFD65620:JFD65621 JOZ65620:JOZ65621 JYV65620:JYV65621 KIR65620:KIR65621 KSN65620:KSN65621 LCJ65620:LCJ65621 LMF65620:LMF65621 LWB65620:LWB65621 MFX65620:MFX65621 MPT65620:MPT65621 MZP65620:MZP65621 NJL65620:NJL65621 NTH65620:NTH65621 ODD65620:ODD65621 OMZ65620:OMZ65621 OWV65620:OWV65621 PGR65620:PGR65621 PQN65620:PQN65621 QAJ65620:QAJ65621 QKF65620:QKF65621 QUB65620:QUB65621 RDX65620:RDX65621 RNT65620:RNT65621 RXP65620:RXP65621 SHL65620:SHL65621 SRH65620:SRH65621 TBD65620:TBD65621 TKZ65620:TKZ65621 TUV65620:TUV65621 UER65620:UER65621 UON65620:UON65621 UYJ65620:UYJ65621 VIF65620:VIF65621 VSB65620:VSB65621 WBX65620:WBX65621 WLT65620:WLT65621 WVP65620:WVP65621 H131156:H131157 JD131156:JD131157 SZ131156:SZ131157 ACV131156:ACV131157 AMR131156:AMR131157 AWN131156:AWN131157 BGJ131156:BGJ131157 BQF131156:BQF131157 CAB131156:CAB131157 CJX131156:CJX131157 CTT131156:CTT131157 DDP131156:DDP131157 DNL131156:DNL131157 DXH131156:DXH131157 EHD131156:EHD131157 EQZ131156:EQZ131157 FAV131156:FAV131157 FKR131156:FKR131157 FUN131156:FUN131157 GEJ131156:GEJ131157 GOF131156:GOF131157 GYB131156:GYB131157 HHX131156:HHX131157 HRT131156:HRT131157 IBP131156:IBP131157 ILL131156:ILL131157 IVH131156:IVH131157 JFD131156:JFD131157 JOZ131156:JOZ131157 JYV131156:JYV131157 KIR131156:KIR131157 KSN131156:KSN131157 LCJ131156:LCJ131157 LMF131156:LMF131157 LWB131156:LWB131157 MFX131156:MFX131157 MPT131156:MPT131157 MZP131156:MZP131157 NJL131156:NJL131157 NTH131156:NTH131157 ODD131156:ODD131157 OMZ131156:OMZ131157 OWV131156:OWV131157 PGR131156:PGR131157 PQN131156:PQN131157 QAJ131156:QAJ131157 QKF131156:QKF131157 QUB131156:QUB131157 RDX131156:RDX131157 RNT131156:RNT131157 RXP131156:RXP131157 SHL131156:SHL131157 SRH131156:SRH131157 TBD131156:TBD131157 TKZ131156:TKZ131157 TUV131156:TUV131157 UER131156:UER131157 UON131156:UON131157 UYJ131156:UYJ131157 VIF131156:VIF131157 VSB131156:VSB131157 WBX131156:WBX131157 WLT131156:WLT131157 WVP131156:WVP131157 H196692:H196693 JD196692:JD196693 SZ196692:SZ196693 ACV196692:ACV196693 AMR196692:AMR196693 AWN196692:AWN196693 BGJ196692:BGJ196693 BQF196692:BQF196693 CAB196692:CAB196693 CJX196692:CJX196693 CTT196692:CTT196693 DDP196692:DDP196693 DNL196692:DNL196693 DXH196692:DXH196693 EHD196692:EHD196693 EQZ196692:EQZ196693 FAV196692:FAV196693 FKR196692:FKR196693 FUN196692:FUN196693 GEJ196692:GEJ196693 GOF196692:GOF196693 GYB196692:GYB196693 HHX196692:HHX196693 HRT196692:HRT196693 IBP196692:IBP196693 ILL196692:ILL196693 IVH196692:IVH196693 JFD196692:JFD196693 JOZ196692:JOZ196693 JYV196692:JYV196693 KIR196692:KIR196693 KSN196692:KSN196693 LCJ196692:LCJ196693 LMF196692:LMF196693 LWB196692:LWB196693 MFX196692:MFX196693 MPT196692:MPT196693 MZP196692:MZP196693 NJL196692:NJL196693 NTH196692:NTH196693 ODD196692:ODD196693 OMZ196692:OMZ196693 OWV196692:OWV196693 PGR196692:PGR196693 PQN196692:PQN196693 QAJ196692:QAJ196693 QKF196692:QKF196693 QUB196692:QUB196693 RDX196692:RDX196693 RNT196692:RNT196693 RXP196692:RXP196693 SHL196692:SHL196693 SRH196692:SRH196693 TBD196692:TBD196693 TKZ196692:TKZ196693 TUV196692:TUV196693 UER196692:UER196693 UON196692:UON196693 UYJ196692:UYJ196693 VIF196692:VIF196693 VSB196692:VSB196693 WBX196692:WBX196693 WLT196692:WLT196693 WVP196692:WVP196693 H262228:H262229 JD262228:JD262229 SZ262228:SZ262229 ACV262228:ACV262229 AMR262228:AMR262229 AWN262228:AWN262229 BGJ262228:BGJ262229 BQF262228:BQF262229 CAB262228:CAB262229 CJX262228:CJX262229 CTT262228:CTT262229 DDP262228:DDP262229 DNL262228:DNL262229 DXH262228:DXH262229 EHD262228:EHD262229 EQZ262228:EQZ262229 FAV262228:FAV262229 FKR262228:FKR262229 FUN262228:FUN262229 GEJ262228:GEJ262229 GOF262228:GOF262229 GYB262228:GYB262229 HHX262228:HHX262229 HRT262228:HRT262229 IBP262228:IBP262229 ILL262228:ILL262229 IVH262228:IVH262229 JFD262228:JFD262229 JOZ262228:JOZ262229 JYV262228:JYV262229 KIR262228:KIR262229 KSN262228:KSN262229 LCJ262228:LCJ262229 LMF262228:LMF262229 LWB262228:LWB262229 MFX262228:MFX262229 MPT262228:MPT262229 MZP262228:MZP262229 NJL262228:NJL262229 NTH262228:NTH262229 ODD262228:ODD262229 OMZ262228:OMZ262229 OWV262228:OWV262229 PGR262228:PGR262229 PQN262228:PQN262229 QAJ262228:QAJ262229 QKF262228:QKF262229 QUB262228:QUB262229 RDX262228:RDX262229 RNT262228:RNT262229 RXP262228:RXP262229 SHL262228:SHL262229 SRH262228:SRH262229 TBD262228:TBD262229 TKZ262228:TKZ262229 TUV262228:TUV262229 UER262228:UER262229 UON262228:UON262229 UYJ262228:UYJ262229 VIF262228:VIF262229 VSB262228:VSB262229 WBX262228:WBX262229 WLT262228:WLT262229 WVP262228:WVP262229 H327764:H327765 JD327764:JD327765 SZ327764:SZ327765 ACV327764:ACV327765 AMR327764:AMR327765 AWN327764:AWN327765 BGJ327764:BGJ327765 BQF327764:BQF327765 CAB327764:CAB327765 CJX327764:CJX327765 CTT327764:CTT327765 DDP327764:DDP327765 DNL327764:DNL327765 DXH327764:DXH327765 EHD327764:EHD327765 EQZ327764:EQZ327765 FAV327764:FAV327765 FKR327764:FKR327765 FUN327764:FUN327765 GEJ327764:GEJ327765 GOF327764:GOF327765 GYB327764:GYB327765 HHX327764:HHX327765 HRT327764:HRT327765 IBP327764:IBP327765 ILL327764:ILL327765 IVH327764:IVH327765 JFD327764:JFD327765 JOZ327764:JOZ327765 JYV327764:JYV327765 KIR327764:KIR327765 KSN327764:KSN327765 LCJ327764:LCJ327765 LMF327764:LMF327765 LWB327764:LWB327765 MFX327764:MFX327765 MPT327764:MPT327765 MZP327764:MZP327765 NJL327764:NJL327765 NTH327764:NTH327765 ODD327764:ODD327765 OMZ327764:OMZ327765 OWV327764:OWV327765 PGR327764:PGR327765 PQN327764:PQN327765 QAJ327764:QAJ327765 QKF327764:QKF327765 QUB327764:QUB327765 RDX327764:RDX327765 RNT327764:RNT327765 RXP327764:RXP327765 SHL327764:SHL327765 SRH327764:SRH327765 TBD327764:TBD327765 TKZ327764:TKZ327765 TUV327764:TUV327765 UER327764:UER327765 UON327764:UON327765 UYJ327764:UYJ327765 VIF327764:VIF327765 VSB327764:VSB327765 WBX327764:WBX327765 WLT327764:WLT327765 WVP327764:WVP327765 H393300:H393301 JD393300:JD393301 SZ393300:SZ393301 ACV393300:ACV393301 AMR393300:AMR393301 AWN393300:AWN393301 BGJ393300:BGJ393301 BQF393300:BQF393301 CAB393300:CAB393301 CJX393300:CJX393301 CTT393300:CTT393301 DDP393300:DDP393301 DNL393300:DNL393301 DXH393300:DXH393301 EHD393300:EHD393301 EQZ393300:EQZ393301 FAV393300:FAV393301 FKR393300:FKR393301 FUN393300:FUN393301 GEJ393300:GEJ393301 GOF393300:GOF393301 GYB393300:GYB393301 HHX393300:HHX393301 HRT393300:HRT393301 IBP393300:IBP393301 ILL393300:ILL393301 IVH393300:IVH393301 JFD393300:JFD393301 JOZ393300:JOZ393301 JYV393300:JYV393301 KIR393300:KIR393301 KSN393300:KSN393301 LCJ393300:LCJ393301 LMF393300:LMF393301 LWB393300:LWB393301 MFX393300:MFX393301 MPT393300:MPT393301 MZP393300:MZP393301 NJL393300:NJL393301 NTH393300:NTH393301 ODD393300:ODD393301 OMZ393300:OMZ393301 OWV393300:OWV393301 PGR393300:PGR393301 PQN393300:PQN393301 QAJ393300:QAJ393301 QKF393300:QKF393301 QUB393300:QUB393301 RDX393300:RDX393301 RNT393300:RNT393301 RXP393300:RXP393301 SHL393300:SHL393301 SRH393300:SRH393301 TBD393300:TBD393301 TKZ393300:TKZ393301 TUV393300:TUV393301 UER393300:UER393301 UON393300:UON393301 UYJ393300:UYJ393301 VIF393300:VIF393301 VSB393300:VSB393301 WBX393300:WBX393301 WLT393300:WLT393301 WVP393300:WVP393301 H458836:H458837 JD458836:JD458837 SZ458836:SZ458837 ACV458836:ACV458837 AMR458836:AMR458837 AWN458836:AWN458837 BGJ458836:BGJ458837 BQF458836:BQF458837 CAB458836:CAB458837 CJX458836:CJX458837 CTT458836:CTT458837 DDP458836:DDP458837 DNL458836:DNL458837 DXH458836:DXH458837 EHD458836:EHD458837 EQZ458836:EQZ458837 FAV458836:FAV458837 FKR458836:FKR458837 FUN458836:FUN458837 GEJ458836:GEJ458837 GOF458836:GOF458837 GYB458836:GYB458837 HHX458836:HHX458837 HRT458836:HRT458837 IBP458836:IBP458837 ILL458836:ILL458837 IVH458836:IVH458837 JFD458836:JFD458837 JOZ458836:JOZ458837 JYV458836:JYV458837 KIR458836:KIR458837 KSN458836:KSN458837 LCJ458836:LCJ458837 LMF458836:LMF458837 LWB458836:LWB458837 MFX458836:MFX458837 MPT458836:MPT458837 MZP458836:MZP458837 NJL458836:NJL458837 NTH458836:NTH458837 ODD458836:ODD458837 OMZ458836:OMZ458837 OWV458836:OWV458837 PGR458836:PGR458837 PQN458836:PQN458837 QAJ458836:QAJ458837 QKF458836:QKF458837 QUB458836:QUB458837 RDX458836:RDX458837 RNT458836:RNT458837 RXP458836:RXP458837 SHL458836:SHL458837 SRH458836:SRH458837 TBD458836:TBD458837 TKZ458836:TKZ458837 TUV458836:TUV458837 UER458836:UER458837 UON458836:UON458837 UYJ458836:UYJ458837 VIF458836:VIF458837 VSB458836:VSB458837 WBX458836:WBX458837 WLT458836:WLT458837 WVP458836:WVP458837 H524372:H524373 JD524372:JD524373 SZ524372:SZ524373 ACV524372:ACV524373 AMR524372:AMR524373 AWN524372:AWN524373 BGJ524372:BGJ524373 BQF524372:BQF524373 CAB524372:CAB524373 CJX524372:CJX524373 CTT524372:CTT524373 DDP524372:DDP524373 DNL524372:DNL524373 DXH524372:DXH524373 EHD524372:EHD524373 EQZ524372:EQZ524373 FAV524372:FAV524373 FKR524372:FKR524373 FUN524372:FUN524373 GEJ524372:GEJ524373 GOF524372:GOF524373 GYB524372:GYB524373 HHX524372:HHX524373 HRT524372:HRT524373 IBP524372:IBP524373 ILL524372:ILL524373 IVH524372:IVH524373 JFD524372:JFD524373 JOZ524372:JOZ524373 JYV524372:JYV524373 KIR524372:KIR524373 KSN524372:KSN524373 LCJ524372:LCJ524373 LMF524372:LMF524373 LWB524372:LWB524373 MFX524372:MFX524373 MPT524372:MPT524373 MZP524372:MZP524373 NJL524372:NJL524373 NTH524372:NTH524373 ODD524372:ODD524373 OMZ524372:OMZ524373 OWV524372:OWV524373 PGR524372:PGR524373 PQN524372:PQN524373 QAJ524372:QAJ524373 QKF524372:QKF524373 QUB524372:QUB524373 RDX524372:RDX524373 RNT524372:RNT524373 RXP524372:RXP524373 SHL524372:SHL524373 SRH524372:SRH524373 TBD524372:TBD524373 TKZ524372:TKZ524373 TUV524372:TUV524373 UER524372:UER524373 UON524372:UON524373 UYJ524372:UYJ524373 VIF524372:VIF524373 VSB524372:VSB524373 WBX524372:WBX524373 WLT524372:WLT524373 WVP524372:WVP524373 H589908:H589909 JD589908:JD589909 SZ589908:SZ589909 ACV589908:ACV589909 AMR589908:AMR589909 AWN589908:AWN589909 BGJ589908:BGJ589909 BQF589908:BQF589909 CAB589908:CAB589909 CJX589908:CJX589909 CTT589908:CTT589909 DDP589908:DDP589909 DNL589908:DNL589909 DXH589908:DXH589909 EHD589908:EHD589909 EQZ589908:EQZ589909 FAV589908:FAV589909 FKR589908:FKR589909 FUN589908:FUN589909 GEJ589908:GEJ589909 GOF589908:GOF589909 GYB589908:GYB589909 HHX589908:HHX589909 HRT589908:HRT589909 IBP589908:IBP589909 ILL589908:ILL589909 IVH589908:IVH589909 JFD589908:JFD589909 JOZ589908:JOZ589909 JYV589908:JYV589909 KIR589908:KIR589909 KSN589908:KSN589909 LCJ589908:LCJ589909 LMF589908:LMF589909 LWB589908:LWB589909 MFX589908:MFX589909 MPT589908:MPT589909 MZP589908:MZP589909 NJL589908:NJL589909 NTH589908:NTH589909 ODD589908:ODD589909 OMZ589908:OMZ589909 OWV589908:OWV589909 PGR589908:PGR589909 PQN589908:PQN589909 QAJ589908:QAJ589909 QKF589908:QKF589909 QUB589908:QUB589909 RDX589908:RDX589909 RNT589908:RNT589909 RXP589908:RXP589909 SHL589908:SHL589909 SRH589908:SRH589909 TBD589908:TBD589909 TKZ589908:TKZ589909 TUV589908:TUV589909 UER589908:UER589909 UON589908:UON589909 UYJ589908:UYJ589909 VIF589908:VIF589909 VSB589908:VSB589909 WBX589908:WBX589909 WLT589908:WLT589909 WVP589908:WVP589909 H655444:H655445 JD655444:JD655445 SZ655444:SZ655445 ACV655444:ACV655445 AMR655444:AMR655445 AWN655444:AWN655445 BGJ655444:BGJ655445 BQF655444:BQF655445 CAB655444:CAB655445 CJX655444:CJX655445 CTT655444:CTT655445 DDP655444:DDP655445 DNL655444:DNL655445 DXH655444:DXH655445 EHD655444:EHD655445 EQZ655444:EQZ655445 FAV655444:FAV655445 FKR655444:FKR655445 FUN655444:FUN655445 GEJ655444:GEJ655445 GOF655444:GOF655445 GYB655444:GYB655445 HHX655444:HHX655445 HRT655444:HRT655445 IBP655444:IBP655445 ILL655444:ILL655445 IVH655444:IVH655445 JFD655444:JFD655445 JOZ655444:JOZ655445 JYV655444:JYV655445 KIR655444:KIR655445 KSN655444:KSN655445 LCJ655444:LCJ655445 LMF655444:LMF655445 LWB655444:LWB655445 MFX655444:MFX655445 MPT655444:MPT655445 MZP655444:MZP655445 NJL655444:NJL655445 NTH655444:NTH655445 ODD655444:ODD655445 OMZ655444:OMZ655445 OWV655444:OWV655445 PGR655444:PGR655445 PQN655444:PQN655445 QAJ655444:QAJ655445 QKF655444:QKF655445 QUB655444:QUB655445 RDX655444:RDX655445 RNT655444:RNT655445 RXP655444:RXP655445 SHL655444:SHL655445 SRH655444:SRH655445 TBD655444:TBD655445 TKZ655444:TKZ655445 TUV655444:TUV655445 UER655444:UER655445 UON655444:UON655445 UYJ655444:UYJ655445 VIF655444:VIF655445 VSB655444:VSB655445 WBX655444:WBX655445 WLT655444:WLT655445 WVP655444:WVP655445 H720980:H720981 JD720980:JD720981 SZ720980:SZ720981 ACV720980:ACV720981 AMR720980:AMR720981 AWN720980:AWN720981 BGJ720980:BGJ720981 BQF720980:BQF720981 CAB720980:CAB720981 CJX720980:CJX720981 CTT720980:CTT720981 DDP720980:DDP720981 DNL720980:DNL720981 DXH720980:DXH720981 EHD720980:EHD720981 EQZ720980:EQZ720981 FAV720980:FAV720981 FKR720980:FKR720981 FUN720980:FUN720981 GEJ720980:GEJ720981 GOF720980:GOF720981 GYB720980:GYB720981 HHX720980:HHX720981 HRT720980:HRT720981 IBP720980:IBP720981 ILL720980:ILL720981 IVH720980:IVH720981 JFD720980:JFD720981 JOZ720980:JOZ720981 JYV720980:JYV720981 KIR720980:KIR720981 KSN720980:KSN720981 LCJ720980:LCJ720981 LMF720980:LMF720981 LWB720980:LWB720981 MFX720980:MFX720981 MPT720980:MPT720981 MZP720980:MZP720981 NJL720980:NJL720981 NTH720980:NTH720981 ODD720980:ODD720981 OMZ720980:OMZ720981 OWV720980:OWV720981 PGR720980:PGR720981 PQN720980:PQN720981 QAJ720980:QAJ720981 QKF720980:QKF720981 QUB720980:QUB720981 RDX720980:RDX720981 RNT720980:RNT720981 RXP720980:RXP720981 SHL720980:SHL720981 SRH720980:SRH720981 TBD720980:TBD720981 TKZ720980:TKZ720981 TUV720980:TUV720981 UER720980:UER720981 UON720980:UON720981 UYJ720980:UYJ720981 VIF720980:VIF720981 VSB720980:VSB720981 WBX720980:WBX720981 WLT720980:WLT720981 WVP720980:WVP720981 H786516:H786517 JD786516:JD786517 SZ786516:SZ786517 ACV786516:ACV786517 AMR786516:AMR786517 AWN786516:AWN786517 BGJ786516:BGJ786517 BQF786516:BQF786517 CAB786516:CAB786517 CJX786516:CJX786517 CTT786516:CTT786517 DDP786516:DDP786517 DNL786516:DNL786517 DXH786516:DXH786517 EHD786516:EHD786517 EQZ786516:EQZ786517 FAV786516:FAV786517 FKR786516:FKR786517 FUN786516:FUN786517 GEJ786516:GEJ786517 GOF786516:GOF786517 GYB786516:GYB786517 HHX786516:HHX786517 HRT786516:HRT786517 IBP786516:IBP786517 ILL786516:ILL786517 IVH786516:IVH786517 JFD786516:JFD786517 JOZ786516:JOZ786517 JYV786516:JYV786517 KIR786516:KIR786517 KSN786516:KSN786517 LCJ786516:LCJ786517 LMF786516:LMF786517 LWB786516:LWB786517 MFX786516:MFX786517 MPT786516:MPT786517 MZP786516:MZP786517 NJL786516:NJL786517 NTH786516:NTH786517 ODD786516:ODD786517 OMZ786516:OMZ786517 OWV786516:OWV786517 PGR786516:PGR786517 PQN786516:PQN786517 QAJ786516:QAJ786517 QKF786516:QKF786517 QUB786516:QUB786517 RDX786516:RDX786517 RNT786516:RNT786517 RXP786516:RXP786517 SHL786516:SHL786517 SRH786516:SRH786517 TBD786516:TBD786517 TKZ786516:TKZ786517 TUV786516:TUV786517 UER786516:UER786517 UON786516:UON786517 UYJ786516:UYJ786517 VIF786516:VIF786517 VSB786516:VSB786517 WBX786516:WBX786517 WLT786516:WLT786517 WVP786516:WVP786517 H852052:H852053 JD852052:JD852053 SZ852052:SZ852053 ACV852052:ACV852053 AMR852052:AMR852053 AWN852052:AWN852053 BGJ852052:BGJ852053 BQF852052:BQF852053 CAB852052:CAB852053 CJX852052:CJX852053 CTT852052:CTT852053 DDP852052:DDP852053 DNL852052:DNL852053 DXH852052:DXH852053 EHD852052:EHD852053 EQZ852052:EQZ852053 FAV852052:FAV852053 FKR852052:FKR852053 FUN852052:FUN852053 GEJ852052:GEJ852053 GOF852052:GOF852053 GYB852052:GYB852053 HHX852052:HHX852053 HRT852052:HRT852053 IBP852052:IBP852053 ILL852052:ILL852053 IVH852052:IVH852053 JFD852052:JFD852053 JOZ852052:JOZ852053 JYV852052:JYV852053 KIR852052:KIR852053 KSN852052:KSN852053 LCJ852052:LCJ852053 LMF852052:LMF852053 LWB852052:LWB852053 MFX852052:MFX852053 MPT852052:MPT852053 MZP852052:MZP852053 NJL852052:NJL852053 NTH852052:NTH852053 ODD852052:ODD852053 OMZ852052:OMZ852053 OWV852052:OWV852053 PGR852052:PGR852053 PQN852052:PQN852053 QAJ852052:QAJ852053 QKF852052:QKF852053 QUB852052:QUB852053 RDX852052:RDX852053 RNT852052:RNT852053 RXP852052:RXP852053 SHL852052:SHL852053 SRH852052:SRH852053 TBD852052:TBD852053 TKZ852052:TKZ852053 TUV852052:TUV852053 UER852052:UER852053 UON852052:UON852053 UYJ852052:UYJ852053 VIF852052:VIF852053 VSB852052:VSB852053 WBX852052:WBX852053 WLT852052:WLT852053 WVP852052:WVP852053 H917588:H917589 JD917588:JD917589 SZ917588:SZ917589 ACV917588:ACV917589 AMR917588:AMR917589 AWN917588:AWN917589 BGJ917588:BGJ917589 BQF917588:BQF917589 CAB917588:CAB917589 CJX917588:CJX917589 CTT917588:CTT917589 DDP917588:DDP917589 DNL917588:DNL917589 DXH917588:DXH917589 EHD917588:EHD917589 EQZ917588:EQZ917589 FAV917588:FAV917589 FKR917588:FKR917589 FUN917588:FUN917589 GEJ917588:GEJ917589 GOF917588:GOF917589 GYB917588:GYB917589 HHX917588:HHX917589 HRT917588:HRT917589 IBP917588:IBP917589 ILL917588:ILL917589 IVH917588:IVH917589 JFD917588:JFD917589 JOZ917588:JOZ917589 JYV917588:JYV917589 KIR917588:KIR917589 KSN917588:KSN917589 LCJ917588:LCJ917589 LMF917588:LMF917589 LWB917588:LWB917589 MFX917588:MFX917589 MPT917588:MPT917589 MZP917588:MZP917589 NJL917588:NJL917589 NTH917588:NTH917589 ODD917588:ODD917589 OMZ917588:OMZ917589 OWV917588:OWV917589 PGR917588:PGR917589 PQN917588:PQN917589 QAJ917588:QAJ917589 QKF917588:QKF917589 QUB917588:QUB917589 RDX917588:RDX917589 RNT917588:RNT917589 RXP917588:RXP917589 SHL917588:SHL917589 SRH917588:SRH917589 TBD917588:TBD917589 TKZ917588:TKZ917589 TUV917588:TUV917589 UER917588:UER917589 UON917588:UON917589 UYJ917588:UYJ917589 VIF917588:VIF917589 VSB917588:VSB917589 WBX917588:WBX917589 WLT917588:WLT917589 WVP917588:WVP917589 H983124:H983125 JD983124:JD983125 SZ983124:SZ983125 ACV983124:ACV983125 AMR983124:AMR983125 AWN983124:AWN983125 BGJ983124:BGJ983125 BQF983124:BQF983125 CAB983124:CAB983125 CJX983124:CJX983125 CTT983124:CTT983125 DDP983124:DDP983125 DNL983124:DNL983125 DXH983124:DXH983125 EHD983124:EHD983125 EQZ983124:EQZ983125 FAV983124:FAV983125 FKR983124:FKR983125 FUN983124:FUN983125 GEJ983124:GEJ983125 GOF983124:GOF983125 GYB983124:GYB983125 HHX983124:HHX983125 HRT983124:HRT983125 IBP983124:IBP983125 ILL983124:ILL983125 IVH983124:IVH983125 JFD983124:JFD983125 JOZ983124:JOZ983125 JYV983124:JYV983125 KIR983124:KIR983125 KSN983124:KSN983125 LCJ983124:LCJ983125 LMF983124:LMF983125 LWB983124:LWB983125 MFX983124:MFX983125 MPT983124:MPT983125 MZP983124:MZP983125 NJL983124:NJL983125 NTH983124:NTH983125 ODD983124:ODD983125 OMZ983124:OMZ983125 OWV983124:OWV983125 PGR983124:PGR983125 PQN983124:PQN983125 QAJ983124:QAJ983125 QKF983124:QKF983125 QUB983124:QUB983125 RDX983124:RDX983125 RNT983124:RNT983125 RXP983124:RXP983125 SHL983124:SHL983125 SRH983124:SRH983125 TBD983124:TBD983125 TKZ983124:TKZ983125 TUV983124:TUV983125 UER983124:UER983125 UON983124:UON983125 UYJ983124:UYJ983125 VIF983124:VIF983125 VSB983124:VSB983125 WBX983124:WBX983125 WLT983124:WLT983125 WVP983124:WVP983125 JK71:JK77 JD84:JD86 SZ84:SZ86 ACV84:ACV86 AMR84:AMR86 AWN84:AWN86 BGJ84:BGJ86 BQF84:BQF86 CAB84:CAB86 CJX84:CJX86 CTT84:CTT86 DDP84:DDP86 DNL84:DNL86 DXH84:DXH86 EHD84:EHD86 EQZ84:EQZ86 FAV84:FAV86 FKR84:FKR86 FUN84:FUN86 GEJ84:GEJ86 GOF84:GOF86 GYB84:GYB86 HHX84:HHX86 HRT84:HRT86 IBP84:IBP86 ILL84:ILL86 IVH84:IVH86 JFD84:JFD86 JOZ84:JOZ86 JYV84:JYV86 KIR84:KIR86 KSN84:KSN86 LCJ84:LCJ86 LMF84:LMF86 LWB84:LWB86 MFX84:MFX86 MPT84:MPT86 MZP84:MZP86 NJL84:NJL86 NTH84:NTH86 ODD84:ODD86 OMZ84:OMZ86 OWV84:OWV86 PGR84:PGR86 PQN84:PQN86 QAJ84:QAJ86 QKF84:QKF86 QUB84:QUB86 RDX84:RDX86 RNT84:RNT86 RXP84:RXP86 SHL84:SHL86 SRH84:SRH86 TBD84:TBD86 TKZ84:TKZ86 TUV84:TUV86 UER84:UER86 UON84:UON86 UYJ84:UYJ86 VIF84:VIF86 VSB84:VSB86 WBX84:WBX86 WLT84:WLT86 WVP84:WVP86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BGQ71:BGQ77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O65618 JK65618 TG65618 ADC65618 AMY65618 AWU65618 BGQ65618 BQM65618 CAI65618 CKE65618 CUA65618 DDW65618 DNS65618 DXO65618 EHK65618 ERG65618 FBC65618 FKY65618 FUU65618 GEQ65618 GOM65618 GYI65618 HIE65618 HSA65618 IBW65618 ILS65618 IVO65618 JFK65618 JPG65618 JZC65618 KIY65618 KSU65618 LCQ65618 LMM65618 LWI65618 MGE65618 MQA65618 MZW65618 NJS65618 NTO65618 ODK65618 ONG65618 OXC65618 PGY65618 PQU65618 QAQ65618 QKM65618 QUI65618 REE65618 ROA65618 RXW65618 SHS65618 SRO65618 TBK65618 TLG65618 TVC65618 UEY65618 UOU65618 UYQ65618 VIM65618 VSI65618 WCE65618 WMA65618 WVW65618 O131154 JK131154 TG131154 ADC131154 AMY131154 AWU131154 BGQ131154 BQM131154 CAI131154 CKE131154 CUA131154 DDW131154 DNS131154 DXO131154 EHK131154 ERG131154 FBC131154 FKY131154 FUU131154 GEQ131154 GOM131154 GYI131154 HIE131154 HSA131154 IBW131154 ILS131154 IVO131154 JFK131154 JPG131154 JZC131154 KIY131154 KSU131154 LCQ131154 LMM131154 LWI131154 MGE131154 MQA131154 MZW131154 NJS131154 NTO131154 ODK131154 ONG131154 OXC131154 PGY131154 PQU131154 QAQ131154 QKM131154 QUI131154 REE131154 ROA131154 RXW131154 SHS131154 SRO131154 TBK131154 TLG131154 TVC131154 UEY131154 UOU131154 UYQ131154 VIM131154 VSI131154 WCE131154 WMA131154 WVW131154 O196690 JK196690 TG196690 ADC196690 AMY196690 AWU196690 BGQ196690 BQM196690 CAI196690 CKE196690 CUA196690 DDW196690 DNS196690 DXO196690 EHK196690 ERG196690 FBC196690 FKY196690 FUU196690 GEQ196690 GOM196690 GYI196690 HIE196690 HSA196690 IBW196690 ILS196690 IVO196690 JFK196690 JPG196690 JZC196690 KIY196690 KSU196690 LCQ196690 LMM196690 LWI196690 MGE196690 MQA196690 MZW196690 NJS196690 NTO196690 ODK196690 ONG196690 OXC196690 PGY196690 PQU196690 QAQ196690 QKM196690 QUI196690 REE196690 ROA196690 RXW196690 SHS196690 SRO196690 TBK196690 TLG196690 TVC196690 UEY196690 UOU196690 UYQ196690 VIM196690 VSI196690 WCE196690 WMA196690 WVW196690 O262226 JK262226 TG262226 ADC262226 AMY262226 AWU262226 BGQ262226 BQM262226 CAI262226 CKE262226 CUA262226 DDW262226 DNS262226 DXO262226 EHK262226 ERG262226 FBC262226 FKY262226 FUU262226 GEQ262226 GOM262226 GYI262226 HIE262226 HSA262226 IBW262226 ILS262226 IVO262226 JFK262226 JPG262226 JZC262226 KIY262226 KSU262226 LCQ262226 LMM262226 LWI262226 MGE262226 MQA262226 MZW262226 NJS262226 NTO262226 ODK262226 ONG262226 OXC262226 PGY262226 PQU262226 QAQ262226 QKM262226 QUI262226 REE262226 ROA262226 RXW262226 SHS262226 SRO262226 TBK262226 TLG262226 TVC262226 UEY262226 UOU262226 UYQ262226 VIM262226 VSI262226 WCE262226 WMA262226 WVW262226 O327762 JK327762 TG327762 ADC327762 AMY327762 AWU327762 BGQ327762 BQM327762 CAI327762 CKE327762 CUA327762 DDW327762 DNS327762 DXO327762 EHK327762 ERG327762 FBC327762 FKY327762 FUU327762 GEQ327762 GOM327762 GYI327762 HIE327762 HSA327762 IBW327762 ILS327762 IVO327762 JFK327762 JPG327762 JZC327762 KIY327762 KSU327762 LCQ327762 LMM327762 LWI327762 MGE327762 MQA327762 MZW327762 NJS327762 NTO327762 ODK327762 ONG327762 OXC327762 PGY327762 PQU327762 QAQ327762 QKM327762 QUI327762 REE327762 ROA327762 RXW327762 SHS327762 SRO327762 TBK327762 TLG327762 TVC327762 UEY327762 UOU327762 UYQ327762 VIM327762 VSI327762 WCE327762 WMA327762 WVW327762 O393298 JK393298 TG393298 ADC393298 AMY393298 AWU393298 BGQ393298 BQM393298 CAI393298 CKE393298 CUA393298 DDW393298 DNS393298 DXO393298 EHK393298 ERG393298 FBC393298 FKY393298 FUU393298 GEQ393298 GOM393298 GYI393298 HIE393298 HSA393298 IBW393298 ILS393298 IVO393298 JFK393298 JPG393298 JZC393298 KIY393298 KSU393298 LCQ393298 LMM393298 LWI393298 MGE393298 MQA393298 MZW393298 NJS393298 NTO393298 ODK393298 ONG393298 OXC393298 PGY393298 PQU393298 QAQ393298 QKM393298 QUI393298 REE393298 ROA393298 RXW393298 SHS393298 SRO393298 TBK393298 TLG393298 TVC393298 UEY393298 UOU393298 UYQ393298 VIM393298 VSI393298 WCE393298 WMA393298 WVW393298 O458834 JK458834 TG458834 ADC458834 AMY458834 AWU458834 BGQ458834 BQM458834 CAI458834 CKE458834 CUA458834 DDW458834 DNS458834 DXO458834 EHK458834 ERG458834 FBC458834 FKY458834 FUU458834 GEQ458834 GOM458834 GYI458834 HIE458834 HSA458834 IBW458834 ILS458834 IVO458834 JFK458834 JPG458834 JZC458834 KIY458834 KSU458834 LCQ458834 LMM458834 LWI458834 MGE458834 MQA458834 MZW458834 NJS458834 NTO458834 ODK458834 ONG458834 OXC458834 PGY458834 PQU458834 QAQ458834 QKM458834 QUI458834 REE458834 ROA458834 RXW458834 SHS458834 SRO458834 TBK458834 TLG458834 TVC458834 UEY458834 UOU458834 UYQ458834 VIM458834 VSI458834 WCE458834 WMA458834 WVW458834 O524370 JK524370 TG524370 ADC524370 AMY524370 AWU524370 BGQ524370 BQM524370 CAI524370 CKE524370 CUA524370 DDW524370 DNS524370 DXO524370 EHK524370 ERG524370 FBC524370 FKY524370 FUU524370 GEQ524370 GOM524370 GYI524370 HIE524370 HSA524370 IBW524370 ILS524370 IVO524370 JFK524370 JPG524370 JZC524370 KIY524370 KSU524370 LCQ524370 LMM524370 LWI524370 MGE524370 MQA524370 MZW524370 NJS524370 NTO524370 ODK524370 ONG524370 OXC524370 PGY524370 PQU524370 QAQ524370 QKM524370 QUI524370 REE524370 ROA524370 RXW524370 SHS524370 SRO524370 TBK524370 TLG524370 TVC524370 UEY524370 UOU524370 UYQ524370 VIM524370 VSI524370 WCE524370 WMA524370 WVW524370 O589906 JK589906 TG589906 ADC589906 AMY589906 AWU589906 BGQ589906 BQM589906 CAI589906 CKE589906 CUA589906 DDW589906 DNS589906 DXO589906 EHK589906 ERG589906 FBC589906 FKY589906 FUU589906 GEQ589906 GOM589906 GYI589906 HIE589906 HSA589906 IBW589906 ILS589906 IVO589906 JFK589906 JPG589906 JZC589906 KIY589906 KSU589906 LCQ589906 LMM589906 LWI589906 MGE589906 MQA589906 MZW589906 NJS589906 NTO589906 ODK589906 ONG589906 OXC589906 PGY589906 PQU589906 QAQ589906 QKM589906 QUI589906 REE589906 ROA589906 RXW589906 SHS589906 SRO589906 TBK589906 TLG589906 TVC589906 UEY589906 UOU589906 UYQ589906 VIM589906 VSI589906 WCE589906 WMA589906 WVW589906 O655442 JK655442 TG655442 ADC655442 AMY655442 AWU655442 BGQ655442 BQM655442 CAI655442 CKE655442 CUA655442 DDW655442 DNS655442 DXO655442 EHK655442 ERG655442 FBC655442 FKY655442 FUU655442 GEQ655442 GOM655442 GYI655442 HIE655442 HSA655442 IBW655442 ILS655442 IVO655442 JFK655442 JPG655442 JZC655442 KIY655442 KSU655442 LCQ655442 LMM655442 LWI655442 MGE655442 MQA655442 MZW655442 NJS655442 NTO655442 ODK655442 ONG655442 OXC655442 PGY655442 PQU655442 QAQ655442 QKM655442 QUI655442 REE655442 ROA655442 RXW655442 SHS655442 SRO655442 TBK655442 TLG655442 TVC655442 UEY655442 UOU655442 UYQ655442 VIM655442 VSI655442 WCE655442 WMA655442 WVW655442 O720978 JK720978 TG720978 ADC720978 AMY720978 AWU720978 BGQ720978 BQM720978 CAI720978 CKE720978 CUA720978 DDW720978 DNS720978 DXO720978 EHK720978 ERG720978 FBC720978 FKY720978 FUU720978 GEQ720978 GOM720978 GYI720978 HIE720978 HSA720978 IBW720978 ILS720978 IVO720978 JFK720978 JPG720978 JZC720978 KIY720978 KSU720978 LCQ720978 LMM720978 LWI720978 MGE720978 MQA720978 MZW720978 NJS720978 NTO720978 ODK720978 ONG720978 OXC720978 PGY720978 PQU720978 QAQ720978 QKM720978 QUI720978 REE720978 ROA720978 RXW720978 SHS720978 SRO720978 TBK720978 TLG720978 TVC720978 UEY720978 UOU720978 UYQ720978 VIM720978 VSI720978 WCE720978 WMA720978 WVW720978 O786514 JK786514 TG786514 ADC786514 AMY786514 AWU786514 BGQ786514 BQM786514 CAI786514 CKE786514 CUA786514 DDW786514 DNS786514 DXO786514 EHK786514 ERG786514 FBC786514 FKY786514 FUU786514 GEQ786514 GOM786514 GYI786514 HIE786514 HSA786514 IBW786514 ILS786514 IVO786514 JFK786514 JPG786514 JZC786514 KIY786514 KSU786514 LCQ786514 LMM786514 LWI786514 MGE786514 MQA786514 MZW786514 NJS786514 NTO786514 ODK786514 ONG786514 OXC786514 PGY786514 PQU786514 QAQ786514 QKM786514 QUI786514 REE786514 ROA786514 RXW786514 SHS786514 SRO786514 TBK786514 TLG786514 TVC786514 UEY786514 UOU786514 UYQ786514 VIM786514 VSI786514 WCE786514 WMA786514 WVW786514 O852050 JK852050 TG852050 ADC852050 AMY852050 AWU852050 BGQ852050 BQM852050 CAI852050 CKE852050 CUA852050 DDW852050 DNS852050 DXO852050 EHK852050 ERG852050 FBC852050 FKY852050 FUU852050 GEQ852050 GOM852050 GYI852050 HIE852050 HSA852050 IBW852050 ILS852050 IVO852050 JFK852050 JPG852050 JZC852050 KIY852050 KSU852050 LCQ852050 LMM852050 LWI852050 MGE852050 MQA852050 MZW852050 NJS852050 NTO852050 ODK852050 ONG852050 OXC852050 PGY852050 PQU852050 QAQ852050 QKM852050 QUI852050 REE852050 ROA852050 RXW852050 SHS852050 SRO852050 TBK852050 TLG852050 TVC852050 UEY852050 UOU852050 UYQ852050 VIM852050 VSI852050 WCE852050 WMA852050 WVW852050 O917586 JK917586 TG917586 ADC917586 AMY917586 AWU917586 BGQ917586 BQM917586 CAI917586 CKE917586 CUA917586 DDW917586 DNS917586 DXO917586 EHK917586 ERG917586 FBC917586 FKY917586 FUU917586 GEQ917586 GOM917586 GYI917586 HIE917586 HSA917586 IBW917586 ILS917586 IVO917586 JFK917586 JPG917586 JZC917586 KIY917586 KSU917586 LCQ917586 LMM917586 LWI917586 MGE917586 MQA917586 MZW917586 NJS917586 NTO917586 ODK917586 ONG917586 OXC917586 PGY917586 PQU917586 QAQ917586 QKM917586 QUI917586 REE917586 ROA917586 RXW917586 SHS917586 SRO917586 TBK917586 TLG917586 TVC917586 UEY917586 UOU917586 UYQ917586 VIM917586 VSI917586 WCE917586 WMA917586 WVW917586 O983122 JK983122 TG983122 ADC983122 AMY983122 AWU983122 BGQ983122 BQM983122 CAI983122 CKE983122 CUA983122 DDW983122 DNS983122 DXO983122 EHK983122 ERG983122 FBC983122 FKY983122 FUU983122 GEQ983122 GOM983122 GYI983122 HIE983122 HSA983122 IBW983122 ILS983122 IVO983122 JFK983122 JPG983122 JZC983122 KIY983122 KSU983122 LCQ983122 LMM983122 LWI983122 MGE983122 MQA983122 MZW983122 NJS983122 NTO983122 ODK983122 ONG983122 OXC983122 PGY983122 PQU983122 QAQ983122 QKM983122 QUI983122 REE983122 ROA983122 RXW983122 SHS983122 SRO983122 TBK983122 TLG983122 TVC983122 UEY983122 UOU983122 UYQ983122 VIM983122 VSI983122 WCE983122 WMA983122 WVW983122 AWU71:AWU77 JK81:JK82 TG81:TG82 ADC81:ADC82 AMY81:AMY82 AWU81:AWU82 BGQ81:BGQ82 BQM81:BQM82 CAI81:CAI82 CKE81:CKE82 CUA81:CUA82 DDW81:DDW82 DNS81:DNS82 DXO81:DXO82 EHK81:EHK82 ERG81:ERG82 FBC81:FBC82 FKY81:FKY82 FUU81:FUU82 GEQ81:GEQ82 GOM81:GOM82 GYI81:GYI82 HIE81:HIE82 HSA81:HSA82 IBW81:IBW82 ILS81:ILS82 IVO81:IVO82 JFK81:JFK82 JPG81:JPG82 JZC81:JZC82 KIY81:KIY82 KSU81:KSU82 LCQ81:LCQ82 LMM81:LMM82 LWI81:LWI82 MGE81:MGE82 MQA81:MQA82 MZW81:MZW82 NJS81:NJS82 NTO81:NTO82 ODK81:ODK82 ONG81:ONG82 OXC81:OXC82 PGY81:PGY82 PQU81:PQU82 QAQ81:QAQ82 QKM81:QKM82 QUI81:QUI82 REE81:REE82 ROA81:ROA82 RXW81:RXW82 SHS81:SHS82 SRO81:SRO82 TBK81:TBK82 TLG81:TLG82 TVC81:TVC82 UEY81:UEY82 UOU81:UOU82 UYQ81:UYQ82 VIM81:VIM82 VSI81:VSI82 WCE81:WCE82 WMA81:WMA82 WVW81:WVW82 O65620:O65621 JK65620:JK65621 TG65620:TG65621 ADC65620:ADC65621 AMY65620:AMY65621 AWU65620:AWU65621 BGQ65620:BGQ65621 BQM65620:BQM65621 CAI65620:CAI65621 CKE65620:CKE65621 CUA65620:CUA65621 DDW65620:DDW65621 DNS65620:DNS65621 DXO65620:DXO65621 EHK65620:EHK65621 ERG65620:ERG65621 FBC65620:FBC65621 FKY65620:FKY65621 FUU65620:FUU65621 GEQ65620:GEQ65621 GOM65620:GOM65621 GYI65620:GYI65621 HIE65620:HIE65621 HSA65620:HSA65621 IBW65620:IBW65621 ILS65620:ILS65621 IVO65620:IVO65621 JFK65620:JFK65621 JPG65620:JPG65621 JZC65620:JZC65621 KIY65620:KIY65621 KSU65620:KSU65621 LCQ65620:LCQ65621 LMM65620:LMM65621 LWI65620:LWI65621 MGE65620:MGE65621 MQA65620:MQA65621 MZW65620:MZW65621 NJS65620:NJS65621 NTO65620:NTO65621 ODK65620:ODK65621 ONG65620:ONG65621 OXC65620:OXC65621 PGY65620:PGY65621 PQU65620:PQU65621 QAQ65620:QAQ65621 QKM65620:QKM65621 QUI65620:QUI65621 REE65620:REE65621 ROA65620:ROA65621 RXW65620:RXW65621 SHS65620:SHS65621 SRO65620:SRO65621 TBK65620:TBK65621 TLG65620:TLG65621 TVC65620:TVC65621 UEY65620:UEY65621 UOU65620:UOU65621 UYQ65620:UYQ65621 VIM65620:VIM65621 VSI65620:VSI65621 WCE65620:WCE65621 WMA65620:WMA65621 WVW65620:WVW65621 O131156:O131157 JK131156:JK131157 TG131156:TG131157 ADC131156:ADC131157 AMY131156:AMY131157 AWU131156:AWU131157 BGQ131156:BGQ131157 BQM131156:BQM131157 CAI131156:CAI131157 CKE131156:CKE131157 CUA131156:CUA131157 DDW131156:DDW131157 DNS131156:DNS131157 DXO131156:DXO131157 EHK131156:EHK131157 ERG131156:ERG131157 FBC131156:FBC131157 FKY131156:FKY131157 FUU131156:FUU131157 GEQ131156:GEQ131157 GOM131156:GOM131157 GYI131156:GYI131157 HIE131156:HIE131157 HSA131156:HSA131157 IBW131156:IBW131157 ILS131156:ILS131157 IVO131156:IVO131157 JFK131156:JFK131157 JPG131156:JPG131157 JZC131156:JZC131157 KIY131156:KIY131157 KSU131156:KSU131157 LCQ131156:LCQ131157 LMM131156:LMM131157 LWI131156:LWI131157 MGE131156:MGE131157 MQA131156:MQA131157 MZW131156:MZW131157 NJS131156:NJS131157 NTO131156:NTO131157 ODK131156:ODK131157 ONG131156:ONG131157 OXC131156:OXC131157 PGY131156:PGY131157 PQU131156:PQU131157 QAQ131156:QAQ131157 QKM131156:QKM131157 QUI131156:QUI131157 REE131156:REE131157 ROA131156:ROA131157 RXW131156:RXW131157 SHS131156:SHS131157 SRO131156:SRO131157 TBK131156:TBK131157 TLG131156:TLG131157 TVC131156:TVC131157 UEY131156:UEY131157 UOU131156:UOU131157 UYQ131156:UYQ131157 VIM131156:VIM131157 VSI131156:VSI131157 WCE131156:WCE131157 WMA131156:WMA131157 WVW131156:WVW131157 O196692:O196693 JK196692:JK196693 TG196692:TG196693 ADC196692:ADC196693 AMY196692:AMY196693 AWU196692:AWU196693 BGQ196692:BGQ196693 BQM196692:BQM196693 CAI196692:CAI196693 CKE196692:CKE196693 CUA196692:CUA196693 DDW196692:DDW196693 DNS196692:DNS196693 DXO196692:DXO196693 EHK196692:EHK196693 ERG196692:ERG196693 FBC196692:FBC196693 FKY196692:FKY196693 FUU196692:FUU196693 GEQ196692:GEQ196693 GOM196692:GOM196693 GYI196692:GYI196693 HIE196692:HIE196693 HSA196692:HSA196693 IBW196692:IBW196693 ILS196692:ILS196693 IVO196692:IVO196693 JFK196692:JFK196693 JPG196692:JPG196693 JZC196692:JZC196693 KIY196692:KIY196693 KSU196692:KSU196693 LCQ196692:LCQ196693 LMM196692:LMM196693 LWI196692:LWI196693 MGE196692:MGE196693 MQA196692:MQA196693 MZW196692:MZW196693 NJS196692:NJS196693 NTO196692:NTO196693 ODK196692:ODK196693 ONG196692:ONG196693 OXC196692:OXC196693 PGY196692:PGY196693 PQU196692:PQU196693 QAQ196692:QAQ196693 QKM196692:QKM196693 QUI196692:QUI196693 REE196692:REE196693 ROA196692:ROA196693 RXW196692:RXW196693 SHS196692:SHS196693 SRO196692:SRO196693 TBK196692:TBK196693 TLG196692:TLG196693 TVC196692:TVC196693 UEY196692:UEY196693 UOU196692:UOU196693 UYQ196692:UYQ196693 VIM196692:VIM196693 VSI196692:VSI196693 WCE196692:WCE196693 WMA196692:WMA196693 WVW196692:WVW196693 O262228:O262229 JK262228:JK262229 TG262228:TG262229 ADC262228:ADC262229 AMY262228:AMY262229 AWU262228:AWU262229 BGQ262228:BGQ262229 BQM262228:BQM262229 CAI262228:CAI262229 CKE262228:CKE262229 CUA262228:CUA262229 DDW262228:DDW262229 DNS262228:DNS262229 DXO262228:DXO262229 EHK262228:EHK262229 ERG262228:ERG262229 FBC262228:FBC262229 FKY262228:FKY262229 FUU262228:FUU262229 GEQ262228:GEQ262229 GOM262228:GOM262229 GYI262228:GYI262229 HIE262228:HIE262229 HSA262228:HSA262229 IBW262228:IBW262229 ILS262228:ILS262229 IVO262228:IVO262229 JFK262228:JFK262229 JPG262228:JPG262229 JZC262228:JZC262229 KIY262228:KIY262229 KSU262228:KSU262229 LCQ262228:LCQ262229 LMM262228:LMM262229 LWI262228:LWI262229 MGE262228:MGE262229 MQA262228:MQA262229 MZW262228:MZW262229 NJS262228:NJS262229 NTO262228:NTO262229 ODK262228:ODK262229 ONG262228:ONG262229 OXC262228:OXC262229 PGY262228:PGY262229 PQU262228:PQU262229 QAQ262228:QAQ262229 QKM262228:QKM262229 QUI262228:QUI262229 REE262228:REE262229 ROA262228:ROA262229 RXW262228:RXW262229 SHS262228:SHS262229 SRO262228:SRO262229 TBK262228:TBK262229 TLG262228:TLG262229 TVC262228:TVC262229 UEY262228:UEY262229 UOU262228:UOU262229 UYQ262228:UYQ262229 VIM262228:VIM262229 VSI262228:VSI262229 WCE262228:WCE262229 WMA262228:WMA262229 WVW262228:WVW262229 O327764:O327765 JK327764:JK327765 TG327764:TG327765 ADC327764:ADC327765 AMY327764:AMY327765 AWU327764:AWU327765 BGQ327764:BGQ327765 BQM327764:BQM327765 CAI327764:CAI327765 CKE327764:CKE327765 CUA327764:CUA327765 DDW327764:DDW327765 DNS327764:DNS327765 DXO327764:DXO327765 EHK327764:EHK327765 ERG327764:ERG327765 FBC327764:FBC327765 FKY327764:FKY327765 FUU327764:FUU327765 GEQ327764:GEQ327765 GOM327764:GOM327765 GYI327764:GYI327765 HIE327764:HIE327765 HSA327764:HSA327765 IBW327764:IBW327765 ILS327764:ILS327765 IVO327764:IVO327765 JFK327764:JFK327765 JPG327764:JPG327765 JZC327764:JZC327765 KIY327764:KIY327765 KSU327764:KSU327765 LCQ327764:LCQ327765 LMM327764:LMM327765 LWI327764:LWI327765 MGE327764:MGE327765 MQA327764:MQA327765 MZW327764:MZW327765 NJS327764:NJS327765 NTO327764:NTO327765 ODK327764:ODK327765 ONG327764:ONG327765 OXC327764:OXC327765 PGY327764:PGY327765 PQU327764:PQU327765 QAQ327764:QAQ327765 QKM327764:QKM327765 QUI327764:QUI327765 REE327764:REE327765 ROA327764:ROA327765 RXW327764:RXW327765 SHS327764:SHS327765 SRO327764:SRO327765 TBK327764:TBK327765 TLG327764:TLG327765 TVC327764:TVC327765 UEY327764:UEY327765 UOU327764:UOU327765 UYQ327764:UYQ327765 VIM327764:VIM327765 VSI327764:VSI327765 WCE327764:WCE327765 WMA327764:WMA327765 WVW327764:WVW327765 O393300:O393301 JK393300:JK393301 TG393300:TG393301 ADC393300:ADC393301 AMY393300:AMY393301 AWU393300:AWU393301 BGQ393300:BGQ393301 BQM393300:BQM393301 CAI393300:CAI393301 CKE393300:CKE393301 CUA393300:CUA393301 DDW393300:DDW393301 DNS393300:DNS393301 DXO393300:DXO393301 EHK393300:EHK393301 ERG393300:ERG393301 FBC393300:FBC393301 FKY393300:FKY393301 FUU393300:FUU393301 GEQ393300:GEQ393301 GOM393300:GOM393301 GYI393300:GYI393301 HIE393300:HIE393301 HSA393300:HSA393301 IBW393300:IBW393301 ILS393300:ILS393301 IVO393300:IVO393301 JFK393300:JFK393301 JPG393300:JPG393301 JZC393300:JZC393301 KIY393300:KIY393301 KSU393300:KSU393301 LCQ393300:LCQ393301 LMM393300:LMM393301 LWI393300:LWI393301 MGE393300:MGE393301 MQA393300:MQA393301 MZW393300:MZW393301 NJS393300:NJS393301 NTO393300:NTO393301 ODK393300:ODK393301 ONG393300:ONG393301 OXC393300:OXC393301 PGY393300:PGY393301 PQU393300:PQU393301 QAQ393300:QAQ393301 QKM393300:QKM393301 QUI393300:QUI393301 REE393300:REE393301 ROA393300:ROA393301 RXW393300:RXW393301 SHS393300:SHS393301 SRO393300:SRO393301 TBK393300:TBK393301 TLG393300:TLG393301 TVC393300:TVC393301 UEY393300:UEY393301 UOU393300:UOU393301 UYQ393300:UYQ393301 VIM393300:VIM393301 VSI393300:VSI393301 WCE393300:WCE393301 WMA393300:WMA393301 WVW393300:WVW393301 O458836:O458837 JK458836:JK458837 TG458836:TG458837 ADC458836:ADC458837 AMY458836:AMY458837 AWU458836:AWU458837 BGQ458836:BGQ458837 BQM458836:BQM458837 CAI458836:CAI458837 CKE458836:CKE458837 CUA458836:CUA458837 DDW458836:DDW458837 DNS458836:DNS458837 DXO458836:DXO458837 EHK458836:EHK458837 ERG458836:ERG458837 FBC458836:FBC458837 FKY458836:FKY458837 FUU458836:FUU458837 GEQ458836:GEQ458837 GOM458836:GOM458837 GYI458836:GYI458837 HIE458836:HIE458837 HSA458836:HSA458837 IBW458836:IBW458837 ILS458836:ILS458837 IVO458836:IVO458837 JFK458836:JFK458837 JPG458836:JPG458837 JZC458836:JZC458837 KIY458836:KIY458837 KSU458836:KSU458837 LCQ458836:LCQ458837 LMM458836:LMM458837 LWI458836:LWI458837 MGE458836:MGE458837 MQA458836:MQA458837 MZW458836:MZW458837 NJS458836:NJS458837 NTO458836:NTO458837 ODK458836:ODK458837 ONG458836:ONG458837 OXC458836:OXC458837 PGY458836:PGY458837 PQU458836:PQU458837 QAQ458836:QAQ458837 QKM458836:QKM458837 QUI458836:QUI458837 REE458836:REE458837 ROA458836:ROA458837 RXW458836:RXW458837 SHS458836:SHS458837 SRO458836:SRO458837 TBK458836:TBK458837 TLG458836:TLG458837 TVC458836:TVC458837 UEY458836:UEY458837 UOU458836:UOU458837 UYQ458836:UYQ458837 VIM458836:VIM458837 VSI458836:VSI458837 WCE458836:WCE458837 WMA458836:WMA458837 WVW458836:WVW458837 O524372:O524373 JK524372:JK524373 TG524372:TG524373 ADC524372:ADC524373 AMY524372:AMY524373 AWU524372:AWU524373 BGQ524372:BGQ524373 BQM524372:BQM524373 CAI524372:CAI524373 CKE524372:CKE524373 CUA524372:CUA524373 DDW524372:DDW524373 DNS524372:DNS524373 DXO524372:DXO524373 EHK524372:EHK524373 ERG524372:ERG524373 FBC524372:FBC524373 FKY524372:FKY524373 FUU524372:FUU524373 GEQ524372:GEQ524373 GOM524372:GOM524373 GYI524372:GYI524373 HIE524372:HIE524373 HSA524372:HSA524373 IBW524372:IBW524373 ILS524372:ILS524373 IVO524372:IVO524373 JFK524372:JFK524373 JPG524372:JPG524373 JZC524372:JZC524373 KIY524372:KIY524373 KSU524372:KSU524373 LCQ524372:LCQ524373 LMM524372:LMM524373 LWI524372:LWI524373 MGE524372:MGE524373 MQA524372:MQA524373 MZW524372:MZW524373 NJS524372:NJS524373 NTO524372:NTO524373 ODK524372:ODK524373 ONG524372:ONG524373 OXC524372:OXC524373 PGY524372:PGY524373 PQU524372:PQU524373 QAQ524372:QAQ524373 QKM524372:QKM524373 QUI524372:QUI524373 REE524372:REE524373 ROA524372:ROA524373 RXW524372:RXW524373 SHS524372:SHS524373 SRO524372:SRO524373 TBK524372:TBK524373 TLG524372:TLG524373 TVC524372:TVC524373 UEY524372:UEY524373 UOU524372:UOU524373 UYQ524372:UYQ524373 VIM524372:VIM524373 VSI524372:VSI524373 WCE524372:WCE524373 WMA524372:WMA524373 WVW524372:WVW524373 O589908:O589909 JK589908:JK589909 TG589908:TG589909 ADC589908:ADC589909 AMY589908:AMY589909 AWU589908:AWU589909 BGQ589908:BGQ589909 BQM589908:BQM589909 CAI589908:CAI589909 CKE589908:CKE589909 CUA589908:CUA589909 DDW589908:DDW589909 DNS589908:DNS589909 DXO589908:DXO589909 EHK589908:EHK589909 ERG589908:ERG589909 FBC589908:FBC589909 FKY589908:FKY589909 FUU589908:FUU589909 GEQ589908:GEQ589909 GOM589908:GOM589909 GYI589908:GYI589909 HIE589908:HIE589909 HSA589908:HSA589909 IBW589908:IBW589909 ILS589908:ILS589909 IVO589908:IVO589909 JFK589908:JFK589909 JPG589908:JPG589909 JZC589908:JZC589909 KIY589908:KIY589909 KSU589908:KSU589909 LCQ589908:LCQ589909 LMM589908:LMM589909 LWI589908:LWI589909 MGE589908:MGE589909 MQA589908:MQA589909 MZW589908:MZW589909 NJS589908:NJS589909 NTO589908:NTO589909 ODK589908:ODK589909 ONG589908:ONG589909 OXC589908:OXC589909 PGY589908:PGY589909 PQU589908:PQU589909 QAQ589908:QAQ589909 QKM589908:QKM589909 QUI589908:QUI589909 REE589908:REE589909 ROA589908:ROA589909 RXW589908:RXW589909 SHS589908:SHS589909 SRO589908:SRO589909 TBK589908:TBK589909 TLG589908:TLG589909 TVC589908:TVC589909 UEY589908:UEY589909 UOU589908:UOU589909 UYQ589908:UYQ589909 VIM589908:VIM589909 VSI589908:VSI589909 WCE589908:WCE589909 WMA589908:WMA589909 WVW589908:WVW589909 O655444:O655445 JK655444:JK655445 TG655444:TG655445 ADC655444:ADC655445 AMY655444:AMY655445 AWU655444:AWU655445 BGQ655444:BGQ655445 BQM655444:BQM655445 CAI655444:CAI655445 CKE655444:CKE655445 CUA655444:CUA655445 DDW655444:DDW655445 DNS655444:DNS655445 DXO655444:DXO655445 EHK655444:EHK655445 ERG655444:ERG655445 FBC655444:FBC655445 FKY655444:FKY655445 FUU655444:FUU655445 GEQ655444:GEQ655445 GOM655444:GOM655445 GYI655444:GYI655445 HIE655444:HIE655445 HSA655444:HSA655445 IBW655444:IBW655445 ILS655444:ILS655445 IVO655444:IVO655445 JFK655444:JFK655445 JPG655444:JPG655445 JZC655444:JZC655445 KIY655444:KIY655445 KSU655444:KSU655445 LCQ655444:LCQ655445 LMM655444:LMM655445 LWI655444:LWI655445 MGE655444:MGE655445 MQA655444:MQA655445 MZW655444:MZW655445 NJS655444:NJS655445 NTO655444:NTO655445 ODK655444:ODK655445 ONG655444:ONG655445 OXC655444:OXC655445 PGY655444:PGY655445 PQU655444:PQU655445 QAQ655444:QAQ655445 QKM655444:QKM655445 QUI655444:QUI655445 REE655444:REE655445 ROA655444:ROA655445 RXW655444:RXW655445 SHS655444:SHS655445 SRO655444:SRO655445 TBK655444:TBK655445 TLG655444:TLG655445 TVC655444:TVC655445 UEY655444:UEY655445 UOU655444:UOU655445 UYQ655444:UYQ655445 VIM655444:VIM655445 VSI655444:VSI655445 WCE655444:WCE655445 WMA655444:WMA655445 WVW655444:WVW655445 O720980:O720981 JK720980:JK720981 TG720980:TG720981 ADC720980:ADC720981 AMY720980:AMY720981 AWU720980:AWU720981 BGQ720980:BGQ720981 BQM720980:BQM720981 CAI720980:CAI720981 CKE720980:CKE720981 CUA720980:CUA720981 DDW720980:DDW720981 DNS720980:DNS720981 DXO720980:DXO720981 EHK720980:EHK720981 ERG720980:ERG720981 FBC720980:FBC720981 FKY720980:FKY720981 FUU720980:FUU720981 GEQ720980:GEQ720981 GOM720980:GOM720981 GYI720980:GYI720981 HIE720980:HIE720981 HSA720980:HSA720981 IBW720980:IBW720981 ILS720980:ILS720981 IVO720980:IVO720981 JFK720980:JFK720981 JPG720980:JPG720981 JZC720980:JZC720981 KIY720980:KIY720981 KSU720980:KSU720981 LCQ720980:LCQ720981 LMM720980:LMM720981 LWI720980:LWI720981 MGE720980:MGE720981 MQA720980:MQA720981 MZW720980:MZW720981 NJS720980:NJS720981 NTO720980:NTO720981 ODK720980:ODK720981 ONG720980:ONG720981 OXC720980:OXC720981 PGY720980:PGY720981 PQU720980:PQU720981 QAQ720980:QAQ720981 QKM720980:QKM720981 QUI720980:QUI720981 REE720980:REE720981 ROA720980:ROA720981 RXW720980:RXW720981 SHS720980:SHS720981 SRO720980:SRO720981 TBK720980:TBK720981 TLG720980:TLG720981 TVC720980:TVC720981 UEY720980:UEY720981 UOU720980:UOU720981 UYQ720980:UYQ720981 VIM720980:VIM720981 VSI720980:VSI720981 WCE720980:WCE720981 WMA720980:WMA720981 WVW720980:WVW720981 O786516:O786517 JK786516:JK786517 TG786516:TG786517 ADC786516:ADC786517 AMY786516:AMY786517 AWU786516:AWU786517 BGQ786516:BGQ786517 BQM786516:BQM786517 CAI786516:CAI786517 CKE786516:CKE786517 CUA786516:CUA786517 DDW786516:DDW786517 DNS786516:DNS786517 DXO786516:DXO786517 EHK786516:EHK786517 ERG786516:ERG786517 FBC786516:FBC786517 FKY786516:FKY786517 FUU786516:FUU786517 GEQ786516:GEQ786517 GOM786516:GOM786517 GYI786516:GYI786517 HIE786516:HIE786517 HSA786516:HSA786517 IBW786516:IBW786517 ILS786516:ILS786517 IVO786516:IVO786517 JFK786516:JFK786517 JPG786516:JPG786517 JZC786516:JZC786517 KIY786516:KIY786517 KSU786516:KSU786517 LCQ786516:LCQ786517 LMM786516:LMM786517 LWI786516:LWI786517 MGE786516:MGE786517 MQA786516:MQA786517 MZW786516:MZW786517 NJS786516:NJS786517 NTO786516:NTO786517 ODK786516:ODK786517 ONG786516:ONG786517 OXC786516:OXC786517 PGY786516:PGY786517 PQU786516:PQU786517 QAQ786516:QAQ786517 QKM786516:QKM786517 QUI786516:QUI786517 REE786516:REE786517 ROA786516:ROA786517 RXW786516:RXW786517 SHS786516:SHS786517 SRO786516:SRO786517 TBK786516:TBK786517 TLG786516:TLG786517 TVC786516:TVC786517 UEY786516:UEY786517 UOU786516:UOU786517 UYQ786516:UYQ786517 VIM786516:VIM786517 VSI786516:VSI786517 WCE786516:WCE786517 WMA786516:WMA786517 WVW786516:WVW786517 O852052:O852053 JK852052:JK852053 TG852052:TG852053 ADC852052:ADC852053 AMY852052:AMY852053 AWU852052:AWU852053 BGQ852052:BGQ852053 BQM852052:BQM852053 CAI852052:CAI852053 CKE852052:CKE852053 CUA852052:CUA852053 DDW852052:DDW852053 DNS852052:DNS852053 DXO852052:DXO852053 EHK852052:EHK852053 ERG852052:ERG852053 FBC852052:FBC852053 FKY852052:FKY852053 FUU852052:FUU852053 GEQ852052:GEQ852053 GOM852052:GOM852053 GYI852052:GYI852053 HIE852052:HIE852053 HSA852052:HSA852053 IBW852052:IBW852053 ILS852052:ILS852053 IVO852052:IVO852053 JFK852052:JFK852053 JPG852052:JPG852053 JZC852052:JZC852053 KIY852052:KIY852053 KSU852052:KSU852053 LCQ852052:LCQ852053 LMM852052:LMM852053 LWI852052:LWI852053 MGE852052:MGE852053 MQA852052:MQA852053 MZW852052:MZW852053 NJS852052:NJS852053 NTO852052:NTO852053 ODK852052:ODK852053 ONG852052:ONG852053 OXC852052:OXC852053 PGY852052:PGY852053 PQU852052:PQU852053 QAQ852052:QAQ852053 QKM852052:QKM852053 QUI852052:QUI852053 REE852052:REE852053 ROA852052:ROA852053 RXW852052:RXW852053 SHS852052:SHS852053 SRO852052:SRO852053 TBK852052:TBK852053 TLG852052:TLG852053 TVC852052:TVC852053 UEY852052:UEY852053 UOU852052:UOU852053 UYQ852052:UYQ852053 VIM852052:VIM852053 VSI852052:VSI852053 WCE852052:WCE852053 WMA852052:WMA852053 WVW852052:WVW852053 O917588:O917589 JK917588:JK917589 TG917588:TG917589 ADC917588:ADC917589 AMY917588:AMY917589 AWU917588:AWU917589 BGQ917588:BGQ917589 BQM917588:BQM917589 CAI917588:CAI917589 CKE917588:CKE917589 CUA917588:CUA917589 DDW917588:DDW917589 DNS917588:DNS917589 DXO917588:DXO917589 EHK917588:EHK917589 ERG917588:ERG917589 FBC917588:FBC917589 FKY917588:FKY917589 FUU917588:FUU917589 GEQ917588:GEQ917589 GOM917588:GOM917589 GYI917588:GYI917589 HIE917588:HIE917589 HSA917588:HSA917589 IBW917588:IBW917589 ILS917588:ILS917589 IVO917588:IVO917589 JFK917588:JFK917589 JPG917588:JPG917589 JZC917588:JZC917589 KIY917588:KIY917589 KSU917588:KSU917589 LCQ917588:LCQ917589 LMM917588:LMM917589 LWI917588:LWI917589 MGE917588:MGE917589 MQA917588:MQA917589 MZW917588:MZW917589 NJS917588:NJS917589 NTO917588:NTO917589 ODK917588:ODK917589 ONG917588:ONG917589 OXC917588:OXC917589 PGY917588:PGY917589 PQU917588:PQU917589 QAQ917588:QAQ917589 QKM917588:QKM917589 QUI917588:QUI917589 REE917588:REE917589 ROA917588:ROA917589 RXW917588:RXW917589 SHS917588:SHS917589 SRO917588:SRO917589 TBK917588:TBK917589 TLG917588:TLG917589 TVC917588:TVC917589 UEY917588:UEY917589 UOU917588:UOU917589 UYQ917588:UYQ917589 VIM917588:VIM917589 VSI917588:VSI917589 WCE917588:WCE917589 WMA917588:WMA917589 WVW917588:WVW917589 O983124:O983125 JK983124:JK983125 TG983124:TG983125 ADC983124:ADC983125 AMY983124:AMY983125 AWU983124:AWU983125 BGQ983124:BGQ983125 BQM983124:BQM983125 CAI983124:CAI983125 CKE983124:CKE983125 CUA983124:CUA983125 DDW983124:DDW983125 DNS983124:DNS983125 DXO983124:DXO983125 EHK983124:EHK983125 ERG983124:ERG983125 FBC983124:FBC983125 FKY983124:FKY983125 FUU983124:FUU983125 GEQ983124:GEQ983125 GOM983124:GOM983125 GYI983124:GYI983125 HIE983124:HIE983125 HSA983124:HSA983125 IBW983124:IBW983125 ILS983124:ILS983125 IVO983124:IVO983125 JFK983124:JFK983125 JPG983124:JPG983125 JZC983124:JZC983125 KIY983124:KIY983125 KSU983124:KSU983125 LCQ983124:LCQ983125 LMM983124:LMM983125 LWI983124:LWI983125 MGE983124:MGE983125 MQA983124:MQA983125 MZW983124:MZW983125 NJS983124:NJS983125 NTO983124:NTO983125 ODK983124:ODK983125 ONG983124:ONG983125 OXC983124:OXC983125 PGY983124:PGY983125 PQU983124:PQU983125 QAQ983124:QAQ983125 QKM983124:QKM983125 QUI983124:QUI983125 REE983124:REE983125 ROA983124:ROA983125 RXW983124:RXW983125 SHS983124:SHS983125 SRO983124:SRO983125 TBK983124:TBK983125 TLG983124:TLG983125 TVC983124:TVC983125 UEY983124:UEY983125 UOU983124:UOU983125 UYQ983124:UYQ983125 VIM983124:VIM983125 VSI983124:VSI983125 WCE983124:WCE983125 WMA983124:WMA983125 WVW983124:WVW983125 DDW71:DDW77 JK84:JK86 TG84:TG86 ADC84:ADC86 AMY84:AMY86 AWU84:AWU86 BGQ84:BGQ86 BQM84:BQM86 CAI84:CAI86 CKE84:CKE86 CUA84:CUA86 DDW84:DDW86 DNS84:DNS86 DXO84:DXO86 EHK84:EHK86 ERG84:ERG86 FBC84:FBC86 FKY84:FKY86 FUU84:FUU86 GEQ84:GEQ86 GOM84:GOM86 GYI84:GYI86 HIE84:HIE86 HSA84:HSA86 IBW84:IBW86 ILS84:ILS86 IVO84:IVO86 JFK84:JFK86 JPG84:JPG86 JZC84:JZC86 KIY84:KIY86 KSU84:KSU86 LCQ84:LCQ86 LMM84:LMM86 LWI84:LWI86 MGE84:MGE86 MQA84:MQA86 MZW84:MZW86 NJS84:NJS86 NTO84:NTO86 ODK84:ODK86 ONG84:ONG86 OXC84:OXC86 PGY84:PGY86 PQU84:PQU86 QAQ84:QAQ86 QKM84:QKM86 QUI84:QUI86 REE84:REE86 ROA84:ROA86 RXW84:RXW86 SHS84:SHS86 SRO84:SRO86 TBK84:TBK86 TLG84:TLG86 TVC84:TVC86 UEY84:UEY86 UOU84:UOU86 UYQ84:UYQ86 VIM84:VIM86 VSI84:VSI86 WCE84:WCE86 WMA84:WMA86 WVW84:WVW86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CUA71:CUA77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CKE71:CKE77 JR81:JR82 TN81:TN82 ADJ81:ADJ82 ANF81:ANF82 AXB81:AXB82 BGX81:BGX82 BQT81:BQT82 CAP81:CAP82 CKL81:CKL82 CUH81:CUH82 DED81:DED82 DNZ81:DNZ82 DXV81:DXV82 EHR81:EHR82 ERN81:ERN82 FBJ81:FBJ82 FLF81:FLF82 FVB81:FVB82 GEX81:GEX82 GOT81:GOT82 GYP81:GYP82 HIL81:HIL82 HSH81:HSH82 ICD81:ICD82 ILZ81:ILZ82 IVV81:IVV82 JFR81:JFR82 JPN81:JPN82 JZJ81:JZJ82 KJF81:KJF82 KTB81:KTB82 LCX81:LCX82 LMT81:LMT82 LWP81:LWP82 MGL81:MGL82 MQH81:MQH82 NAD81:NAD82 NJZ81:NJZ82 NTV81:NTV82 ODR81:ODR82 ONN81:ONN82 OXJ81:OXJ82 PHF81:PHF82 PRB81:PRB82 QAX81:QAX82 QKT81:QKT82 QUP81:QUP82 REL81:REL82 ROH81:ROH82 RYD81:RYD82 SHZ81:SHZ82 SRV81:SRV82 TBR81:TBR82 TLN81:TLN82 TVJ81:TVJ82 UFF81:UFF82 UPB81:UPB82 UYX81:UYX82 VIT81:VIT82 VSP81:VSP82 WCL81:WCL82 WMH81:WMH82 WWD81:WWD82 V65620:V65621 JR65620:JR65621 TN65620:TN65621 ADJ65620:ADJ65621 ANF65620:ANF65621 AXB65620:AXB65621 BGX65620:BGX65621 BQT65620:BQT65621 CAP65620:CAP65621 CKL65620:CKL65621 CUH65620:CUH65621 DED65620:DED65621 DNZ65620:DNZ65621 DXV65620:DXV65621 EHR65620:EHR65621 ERN65620:ERN65621 FBJ65620:FBJ65621 FLF65620:FLF65621 FVB65620:FVB65621 GEX65620:GEX65621 GOT65620:GOT65621 GYP65620:GYP65621 HIL65620:HIL65621 HSH65620:HSH65621 ICD65620:ICD65621 ILZ65620:ILZ65621 IVV65620:IVV65621 JFR65620:JFR65621 JPN65620:JPN65621 JZJ65620:JZJ65621 KJF65620:KJF65621 KTB65620:KTB65621 LCX65620:LCX65621 LMT65620:LMT65621 LWP65620:LWP65621 MGL65620:MGL65621 MQH65620:MQH65621 NAD65620:NAD65621 NJZ65620:NJZ65621 NTV65620:NTV65621 ODR65620:ODR65621 ONN65620:ONN65621 OXJ65620:OXJ65621 PHF65620:PHF65621 PRB65620:PRB65621 QAX65620:QAX65621 QKT65620:QKT65621 QUP65620:QUP65621 REL65620:REL65621 ROH65620:ROH65621 RYD65620:RYD65621 SHZ65620:SHZ65621 SRV65620:SRV65621 TBR65620:TBR65621 TLN65620:TLN65621 TVJ65620:TVJ65621 UFF65620:UFF65621 UPB65620:UPB65621 UYX65620:UYX65621 VIT65620:VIT65621 VSP65620:VSP65621 WCL65620:WCL65621 WMH65620:WMH65621 WWD65620:WWD65621 V131156:V131157 JR131156:JR131157 TN131156:TN131157 ADJ131156:ADJ131157 ANF131156:ANF131157 AXB131156:AXB131157 BGX131156:BGX131157 BQT131156:BQT131157 CAP131156:CAP131157 CKL131156:CKL131157 CUH131156:CUH131157 DED131156:DED131157 DNZ131156:DNZ131157 DXV131156:DXV131157 EHR131156:EHR131157 ERN131156:ERN131157 FBJ131156:FBJ131157 FLF131156:FLF131157 FVB131156:FVB131157 GEX131156:GEX131157 GOT131156:GOT131157 GYP131156:GYP131157 HIL131156:HIL131157 HSH131156:HSH131157 ICD131156:ICD131157 ILZ131156:ILZ131157 IVV131156:IVV131157 JFR131156:JFR131157 JPN131156:JPN131157 JZJ131156:JZJ131157 KJF131156:KJF131157 KTB131156:KTB131157 LCX131156:LCX131157 LMT131156:LMT131157 LWP131156:LWP131157 MGL131156:MGL131157 MQH131156:MQH131157 NAD131156:NAD131157 NJZ131156:NJZ131157 NTV131156:NTV131157 ODR131156:ODR131157 ONN131156:ONN131157 OXJ131156:OXJ131157 PHF131156:PHF131157 PRB131156:PRB131157 QAX131156:QAX131157 QKT131156:QKT131157 QUP131156:QUP131157 REL131156:REL131157 ROH131156:ROH131157 RYD131156:RYD131157 SHZ131156:SHZ131157 SRV131156:SRV131157 TBR131156:TBR131157 TLN131156:TLN131157 TVJ131156:TVJ131157 UFF131156:UFF131157 UPB131156:UPB131157 UYX131156:UYX131157 VIT131156:VIT131157 VSP131156:VSP131157 WCL131156:WCL131157 WMH131156:WMH131157 WWD131156:WWD131157 V196692:V196693 JR196692:JR196693 TN196692:TN196693 ADJ196692:ADJ196693 ANF196692:ANF196693 AXB196692:AXB196693 BGX196692:BGX196693 BQT196692:BQT196693 CAP196692:CAP196693 CKL196692:CKL196693 CUH196692:CUH196693 DED196692:DED196693 DNZ196692:DNZ196693 DXV196692:DXV196693 EHR196692:EHR196693 ERN196692:ERN196693 FBJ196692:FBJ196693 FLF196692:FLF196693 FVB196692:FVB196693 GEX196692:GEX196693 GOT196692:GOT196693 GYP196692:GYP196693 HIL196692:HIL196693 HSH196692:HSH196693 ICD196692:ICD196693 ILZ196692:ILZ196693 IVV196692:IVV196693 JFR196692:JFR196693 JPN196692:JPN196693 JZJ196692:JZJ196693 KJF196692:KJF196693 KTB196692:KTB196693 LCX196692:LCX196693 LMT196692:LMT196693 LWP196692:LWP196693 MGL196692:MGL196693 MQH196692:MQH196693 NAD196692:NAD196693 NJZ196692:NJZ196693 NTV196692:NTV196693 ODR196692:ODR196693 ONN196692:ONN196693 OXJ196692:OXJ196693 PHF196692:PHF196693 PRB196692:PRB196693 QAX196692:QAX196693 QKT196692:QKT196693 QUP196692:QUP196693 REL196692:REL196693 ROH196692:ROH196693 RYD196692:RYD196693 SHZ196692:SHZ196693 SRV196692:SRV196693 TBR196692:TBR196693 TLN196692:TLN196693 TVJ196692:TVJ196693 UFF196692:UFF196693 UPB196692:UPB196693 UYX196692:UYX196693 VIT196692:VIT196693 VSP196692:VSP196693 WCL196692:WCL196693 WMH196692:WMH196693 WWD196692:WWD196693 V262228:V262229 JR262228:JR262229 TN262228:TN262229 ADJ262228:ADJ262229 ANF262228:ANF262229 AXB262228:AXB262229 BGX262228:BGX262229 BQT262228:BQT262229 CAP262228:CAP262229 CKL262228:CKL262229 CUH262228:CUH262229 DED262228:DED262229 DNZ262228:DNZ262229 DXV262228:DXV262229 EHR262228:EHR262229 ERN262228:ERN262229 FBJ262228:FBJ262229 FLF262228:FLF262229 FVB262228:FVB262229 GEX262228:GEX262229 GOT262228:GOT262229 GYP262228:GYP262229 HIL262228:HIL262229 HSH262228:HSH262229 ICD262228:ICD262229 ILZ262228:ILZ262229 IVV262228:IVV262229 JFR262228:JFR262229 JPN262228:JPN262229 JZJ262228:JZJ262229 KJF262228:KJF262229 KTB262228:KTB262229 LCX262228:LCX262229 LMT262228:LMT262229 LWP262228:LWP262229 MGL262228:MGL262229 MQH262228:MQH262229 NAD262228:NAD262229 NJZ262228:NJZ262229 NTV262228:NTV262229 ODR262228:ODR262229 ONN262228:ONN262229 OXJ262228:OXJ262229 PHF262228:PHF262229 PRB262228:PRB262229 QAX262228:QAX262229 QKT262228:QKT262229 QUP262228:QUP262229 REL262228:REL262229 ROH262228:ROH262229 RYD262228:RYD262229 SHZ262228:SHZ262229 SRV262228:SRV262229 TBR262228:TBR262229 TLN262228:TLN262229 TVJ262228:TVJ262229 UFF262228:UFF262229 UPB262228:UPB262229 UYX262228:UYX262229 VIT262228:VIT262229 VSP262228:VSP262229 WCL262228:WCL262229 WMH262228:WMH262229 WWD262228:WWD262229 V327764:V327765 JR327764:JR327765 TN327764:TN327765 ADJ327764:ADJ327765 ANF327764:ANF327765 AXB327764:AXB327765 BGX327764:BGX327765 BQT327764:BQT327765 CAP327764:CAP327765 CKL327764:CKL327765 CUH327764:CUH327765 DED327764:DED327765 DNZ327764:DNZ327765 DXV327764:DXV327765 EHR327764:EHR327765 ERN327764:ERN327765 FBJ327764:FBJ327765 FLF327764:FLF327765 FVB327764:FVB327765 GEX327764:GEX327765 GOT327764:GOT327765 GYP327764:GYP327765 HIL327764:HIL327765 HSH327764:HSH327765 ICD327764:ICD327765 ILZ327764:ILZ327765 IVV327764:IVV327765 JFR327764:JFR327765 JPN327764:JPN327765 JZJ327764:JZJ327765 KJF327764:KJF327765 KTB327764:KTB327765 LCX327764:LCX327765 LMT327764:LMT327765 LWP327764:LWP327765 MGL327764:MGL327765 MQH327764:MQH327765 NAD327764:NAD327765 NJZ327764:NJZ327765 NTV327764:NTV327765 ODR327764:ODR327765 ONN327764:ONN327765 OXJ327764:OXJ327765 PHF327764:PHF327765 PRB327764:PRB327765 QAX327764:QAX327765 QKT327764:QKT327765 QUP327764:QUP327765 REL327764:REL327765 ROH327764:ROH327765 RYD327764:RYD327765 SHZ327764:SHZ327765 SRV327764:SRV327765 TBR327764:TBR327765 TLN327764:TLN327765 TVJ327764:TVJ327765 UFF327764:UFF327765 UPB327764:UPB327765 UYX327764:UYX327765 VIT327764:VIT327765 VSP327764:VSP327765 WCL327764:WCL327765 WMH327764:WMH327765 WWD327764:WWD327765 V393300:V393301 JR393300:JR393301 TN393300:TN393301 ADJ393300:ADJ393301 ANF393300:ANF393301 AXB393300:AXB393301 BGX393300:BGX393301 BQT393300:BQT393301 CAP393300:CAP393301 CKL393300:CKL393301 CUH393300:CUH393301 DED393300:DED393301 DNZ393300:DNZ393301 DXV393300:DXV393301 EHR393300:EHR393301 ERN393300:ERN393301 FBJ393300:FBJ393301 FLF393300:FLF393301 FVB393300:FVB393301 GEX393300:GEX393301 GOT393300:GOT393301 GYP393300:GYP393301 HIL393300:HIL393301 HSH393300:HSH393301 ICD393300:ICD393301 ILZ393300:ILZ393301 IVV393300:IVV393301 JFR393300:JFR393301 JPN393300:JPN393301 JZJ393300:JZJ393301 KJF393300:KJF393301 KTB393300:KTB393301 LCX393300:LCX393301 LMT393300:LMT393301 LWP393300:LWP393301 MGL393300:MGL393301 MQH393300:MQH393301 NAD393300:NAD393301 NJZ393300:NJZ393301 NTV393300:NTV393301 ODR393300:ODR393301 ONN393300:ONN393301 OXJ393300:OXJ393301 PHF393300:PHF393301 PRB393300:PRB393301 QAX393300:QAX393301 QKT393300:QKT393301 QUP393300:QUP393301 REL393300:REL393301 ROH393300:ROH393301 RYD393300:RYD393301 SHZ393300:SHZ393301 SRV393300:SRV393301 TBR393300:TBR393301 TLN393300:TLN393301 TVJ393300:TVJ393301 UFF393300:UFF393301 UPB393300:UPB393301 UYX393300:UYX393301 VIT393300:VIT393301 VSP393300:VSP393301 WCL393300:WCL393301 WMH393300:WMH393301 WWD393300:WWD393301 V458836:V458837 JR458836:JR458837 TN458836:TN458837 ADJ458836:ADJ458837 ANF458836:ANF458837 AXB458836:AXB458837 BGX458836:BGX458837 BQT458836:BQT458837 CAP458836:CAP458837 CKL458836:CKL458837 CUH458836:CUH458837 DED458836:DED458837 DNZ458836:DNZ458837 DXV458836:DXV458837 EHR458836:EHR458837 ERN458836:ERN458837 FBJ458836:FBJ458837 FLF458836:FLF458837 FVB458836:FVB458837 GEX458836:GEX458837 GOT458836:GOT458837 GYP458836:GYP458837 HIL458836:HIL458837 HSH458836:HSH458837 ICD458836:ICD458837 ILZ458836:ILZ458837 IVV458836:IVV458837 JFR458836:JFR458837 JPN458836:JPN458837 JZJ458836:JZJ458837 KJF458836:KJF458837 KTB458836:KTB458837 LCX458836:LCX458837 LMT458836:LMT458837 LWP458836:LWP458837 MGL458836:MGL458837 MQH458836:MQH458837 NAD458836:NAD458837 NJZ458836:NJZ458837 NTV458836:NTV458837 ODR458836:ODR458837 ONN458836:ONN458837 OXJ458836:OXJ458837 PHF458836:PHF458837 PRB458836:PRB458837 QAX458836:QAX458837 QKT458836:QKT458837 QUP458836:QUP458837 REL458836:REL458837 ROH458836:ROH458837 RYD458836:RYD458837 SHZ458836:SHZ458837 SRV458836:SRV458837 TBR458836:TBR458837 TLN458836:TLN458837 TVJ458836:TVJ458837 UFF458836:UFF458837 UPB458836:UPB458837 UYX458836:UYX458837 VIT458836:VIT458837 VSP458836:VSP458837 WCL458836:WCL458837 WMH458836:WMH458837 WWD458836:WWD458837 V524372:V524373 JR524372:JR524373 TN524372:TN524373 ADJ524372:ADJ524373 ANF524372:ANF524373 AXB524372:AXB524373 BGX524372:BGX524373 BQT524372:BQT524373 CAP524372:CAP524373 CKL524372:CKL524373 CUH524372:CUH524373 DED524372:DED524373 DNZ524372:DNZ524373 DXV524372:DXV524373 EHR524372:EHR524373 ERN524372:ERN524373 FBJ524372:FBJ524373 FLF524372:FLF524373 FVB524372:FVB524373 GEX524372:GEX524373 GOT524372:GOT524373 GYP524372:GYP524373 HIL524372:HIL524373 HSH524372:HSH524373 ICD524372:ICD524373 ILZ524372:ILZ524373 IVV524372:IVV524373 JFR524372:JFR524373 JPN524372:JPN524373 JZJ524372:JZJ524373 KJF524372:KJF524373 KTB524372:KTB524373 LCX524372:LCX524373 LMT524372:LMT524373 LWP524372:LWP524373 MGL524372:MGL524373 MQH524372:MQH524373 NAD524372:NAD524373 NJZ524372:NJZ524373 NTV524372:NTV524373 ODR524372:ODR524373 ONN524372:ONN524373 OXJ524372:OXJ524373 PHF524372:PHF524373 PRB524372:PRB524373 QAX524372:QAX524373 QKT524372:QKT524373 QUP524372:QUP524373 REL524372:REL524373 ROH524372:ROH524373 RYD524372:RYD524373 SHZ524372:SHZ524373 SRV524372:SRV524373 TBR524372:TBR524373 TLN524372:TLN524373 TVJ524372:TVJ524373 UFF524372:UFF524373 UPB524372:UPB524373 UYX524372:UYX524373 VIT524372:VIT524373 VSP524372:VSP524373 WCL524372:WCL524373 WMH524372:WMH524373 WWD524372:WWD524373 V589908:V589909 JR589908:JR589909 TN589908:TN589909 ADJ589908:ADJ589909 ANF589908:ANF589909 AXB589908:AXB589909 BGX589908:BGX589909 BQT589908:BQT589909 CAP589908:CAP589909 CKL589908:CKL589909 CUH589908:CUH589909 DED589908:DED589909 DNZ589908:DNZ589909 DXV589908:DXV589909 EHR589908:EHR589909 ERN589908:ERN589909 FBJ589908:FBJ589909 FLF589908:FLF589909 FVB589908:FVB589909 GEX589908:GEX589909 GOT589908:GOT589909 GYP589908:GYP589909 HIL589908:HIL589909 HSH589908:HSH589909 ICD589908:ICD589909 ILZ589908:ILZ589909 IVV589908:IVV589909 JFR589908:JFR589909 JPN589908:JPN589909 JZJ589908:JZJ589909 KJF589908:KJF589909 KTB589908:KTB589909 LCX589908:LCX589909 LMT589908:LMT589909 LWP589908:LWP589909 MGL589908:MGL589909 MQH589908:MQH589909 NAD589908:NAD589909 NJZ589908:NJZ589909 NTV589908:NTV589909 ODR589908:ODR589909 ONN589908:ONN589909 OXJ589908:OXJ589909 PHF589908:PHF589909 PRB589908:PRB589909 QAX589908:QAX589909 QKT589908:QKT589909 QUP589908:QUP589909 REL589908:REL589909 ROH589908:ROH589909 RYD589908:RYD589909 SHZ589908:SHZ589909 SRV589908:SRV589909 TBR589908:TBR589909 TLN589908:TLN589909 TVJ589908:TVJ589909 UFF589908:UFF589909 UPB589908:UPB589909 UYX589908:UYX589909 VIT589908:VIT589909 VSP589908:VSP589909 WCL589908:WCL589909 WMH589908:WMH589909 WWD589908:WWD589909 V655444:V655445 JR655444:JR655445 TN655444:TN655445 ADJ655444:ADJ655445 ANF655444:ANF655445 AXB655444:AXB655445 BGX655444:BGX655445 BQT655444:BQT655445 CAP655444:CAP655445 CKL655444:CKL655445 CUH655444:CUH655445 DED655444:DED655445 DNZ655444:DNZ655445 DXV655444:DXV655445 EHR655444:EHR655445 ERN655444:ERN655445 FBJ655444:FBJ655445 FLF655444:FLF655445 FVB655444:FVB655445 GEX655444:GEX655445 GOT655444:GOT655445 GYP655444:GYP655445 HIL655444:HIL655445 HSH655444:HSH655445 ICD655444:ICD655445 ILZ655444:ILZ655445 IVV655444:IVV655445 JFR655444:JFR655445 JPN655444:JPN655445 JZJ655444:JZJ655445 KJF655444:KJF655445 KTB655444:KTB655445 LCX655444:LCX655445 LMT655444:LMT655445 LWP655444:LWP655445 MGL655444:MGL655445 MQH655444:MQH655445 NAD655444:NAD655445 NJZ655444:NJZ655445 NTV655444:NTV655445 ODR655444:ODR655445 ONN655444:ONN655445 OXJ655444:OXJ655445 PHF655444:PHF655445 PRB655444:PRB655445 QAX655444:QAX655445 QKT655444:QKT655445 QUP655444:QUP655445 REL655444:REL655445 ROH655444:ROH655445 RYD655444:RYD655445 SHZ655444:SHZ655445 SRV655444:SRV655445 TBR655444:TBR655445 TLN655444:TLN655445 TVJ655444:TVJ655445 UFF655444:UFF655445 UPB655444:UPB655445 UYX655444:UYX655445 VIT655444:VIT655445 VSP655444:VSP655445 WCL655444:WCL655445 WMH655444:WMH655445 WWD655444:WWD655445 V720980:V720981 JR720980:JR720981 TN720980:TN720981 ADJ720980:ADJ720981 ANF720980:ANF720981 AXB720980:AXB720981 BGX720980:BGX720981 BQT720980:BQT720981 CAP720980:CAP720981 CKL720980:CKL720981 CUH720980:CUH720981 DED720980:DED720981 DNZ720980:DNZ720981 DXV720980:DXV720981 EHR720980:EHR720981 ERN720980:ERN720981 FBJ720980:FBJ720981 FLF720980:FLF720981 FVB720980:FVB720981 GEX720980:GEX720981 GOT720980:GOT720981 GYP720980:GYP720981 HIL720980:HIL720981 HSH720980:HSH720981 ICD720980:ICD720981 ILZ720980:ILZ720981 IVV720980:IVV720981 JFR720980:JFR720981 JPN720980:JPN720981 JZJ720980:JZJ720981 KJF720980:KJF720981 KTB720980:KTB720981 LCX720980:LCX720981 LMT720980:LMT720981 LWP720980:LWP720981 MGL720980:MGL720981 MQH720980:MQH720981 NAD720980:NAD720981 NJZ720980:NJZ720981 NTV720980:NTV720981 ODR720980:ODR720981 ONN720980:ONN720981 OXJ720980:OXJ720981 PHF720980:PHF720981 PRB720980:PRB720981 QAX720980:QAX720981 QKT720980:QKT720981 QUP720980:QUP720981 REL720980:REL720981 ROH720980:ROH720981 RYD720980:RYD720981 SHZ720980:SHZ720981 SRV720980:SRV720981 TBR720980:TBR720981 TLN720980:TLN720981 TVJ720980:TVJ720981 UFF720980:UFF720981 UPB720980:UPB720981 UYX720980:UYX720981 VIT720980:VIT720981 VSP720980:VSP720981 WCL720980:WCL720981 WMH720980:WMH720981 WWD720980:WWD720981 V786516:V786517 JR786516:JR786517 TN786516:TN786517 ADJ786516:ADJ786517 ANF786516:ANF786517 AXB786516:AXB786517 BGX786516:BGX786517 BQT786516:BQT786517 CAP786516:CAP786517 CKL786516:CKL786517 CUH786516:CUH786517 DED786516:DED786517 DNZ786516:DNZ786517 DXV786516:DXV786517 EHR786516:EHR786517 ERN786516:ERN786517 FBJ786516:FBJ786517 FLF786516:FLF786517 FVB786516:FVB786517 GEX786516:GEX786517 GOT786516:GOT786517 GYP786516:GYP786517 HIL786516:HIL786517 HSH786516:HSH786517 ICD786516:ICD786517 ILZ786516:ILZ786517 IVV786516:IVV786517 JFR786516:JFR786517 JPN786516:JPN786517 JZJ786516:JZJ786517 KJF786516:KJF786517 KTB786516:KTB786517 LCX786516:LCX786517 LMT786516:LMT786517 LWP786516:LWP786517 MGL786516:MGL786517 MQH786516:MQH786517 NAD786516:NAD786517 NJZ786516:NJZ786517 NTV786516:NTV786517 ODR786516:ODR786517 ONN786516:ONN786517 OXJ786516:OXJ786517 PHF786516:PHF786517 PRB786516:PRB786517 QAX786516:QAX786517 QKT786516:QKT786517 QUP786516:QUP786517 REL786516:REL786517 ROH786516:ROH786517 RYD786516:RYD786517 SHZ786516:SHZ786517 SRV786516:SRV786517 TBR786516:TBR786517 TLN786516:TLN786517 TVJ786516:TVJ786517 UFF786516:UFF786517 UPB786516:UPB786517 UYX786516:UYX786517 VIT786516:VIT786517 VSP786516:VSP786517 WCL786516:WCL786517 WMH786516:WMH786517 WWD786516:WWD786517 V852052:V852053 JR852052:JR852053 TN852052:TN852053 ADJ852052:ADJ852053 ANF852052:ANF852053 AXB852052:AXB852053 BGX852052:BGX852053 BQT852052:BQT852053 CAP852052:CAP852053 CKL852052:CKL852053 CUH852052:CUH852053 DED852052:DED852053 DNZ852052:DNZ852053 DXV852052:DXV852053 EHR852052:EHR852053 ERN852052:ERN852053 FBJ852052:FBJ852053 FLF852052:FLF852053 FVB852052:FVB852053 GEX852052:GEX852053 GOT852052:GOT852053 GYP852052:GYP852053 HIL852052:HIL852053 HSH852052:HSH852053 ICD852052:ICD852053 ILZ852052:ILZ852053 IVV852052:IVV852053 JFR852052:JFR852053 JPN852052:JPN852053 JZJ852052:JZJ852053 KJF852052:KJF852053 KTB852052:KTB852053 LCX852052:LCX852053 LMT852052:LMT852053 LWP852052:LWP852053 MGL852052:MGL852053 MQH852052:MQH852053 NAD852052:NAD852053 NJZ852052:NJZ852053 NTV852052:NTV852053 ODR852052:ODR852053 ONN852052:ONN852053 OXJ852052:OXJ852053 PHF852052:PHF852053 PRB852052:PRB852053 QAX852052:QAX852053 QKT852052:QKT852053 QUP852052:QUP852053 REL852052:REL852053 ROH852052:ROH852053 RYD852052:RYD852053 SHZ852052:SHZ852053 SRV852052:SRV852053 TBR852052:TBR852053 TLN852052:TLN852053 TVJ852052:TVJ852053 UFF852052:UFF852053 UPB852052:UPB852053 UYX852052:UYX852053 VIT852052:VIT852053 VSP852052:VSP852053 WCL852052:WCL852053 WMH852052:WMH852053 WWD852052:WWD852053 V917588:V917589 JR917588:JR917589 TN917588:TN917589 ADJ917588:ADJ917589 ANF917588:ANF917589 AXB917588:AXB917589 BGX917588:BGX917589 BQT917588:BQT917589 CAP917588:CAP917589 CKL917588:CKL917589 CUH917588:CUH917589 DED917588:DED917589 DNZ917588:DNZ917589 DXV917588:DXV917589 EHR917588:EHR917589 ERN917588:ERN917589 FBJ917588:FBJ917589 FLF917588:FLF917589 FVB917588:FVB917589 GEX917588:GEX917589 GOT917588:GOT917589 GYP917588:GYP917589 HIL917588:HIL917589 HSH917588:HSH917589 ICD917588:ICD917589 ILZ917588:ILZ917589 IVV917588:IVV917589 JFR917588:JFR917589 JPN917588:JPN917589 JZJ917588:JZJ917589 KJF917588:KJF917589 KTB917588:KTB917589 LCX917588:LCX917589 LMT917588:LMT917589 LWP917588:LWP917589 MGL917588:MGL917589 MQH917588:MQH917589 NAD917588:NAD917589 NJZ917588:NJZ917589 NTV917588:NTV917589 ODR917588:ODR917589 ONN917588:ONN917589 OXJ917588:OXJ917589 PHF917588:PHF917589 PRB917588:PRB917589 QAX917588:QAX917589 QKT917588:QKT917589 QUP917588:QUP917589 REL917588:REL917589 ROH917588:ROH917589 RYD917588:RYD917589 SHZ917588:SHZ917589 SRV917588:SRV917589 TBR917588:TBR917589 TLN917588:TLN917589 TVJ917588:TVJ917589 UFF917588:UFF917589 UPB917588:UPB917589 UYX917588:UYX917589 VIT917588:VIT917589 VSP917588:VSP917589 WCL917588:WCL917589 WMH917588:WMH917589 WWD917588:WWD917589 V983124:V983125 JR983124:JR983125 TN983124:TN983125 ADJ983124:ADJ983125 ANF983124:ANF983125 AXB983124:AXB983125 BGX983124:BGX983125 BQT983124:BQT983125 CAP983124:CAP983125 CKL983124:CKL983125 CUH983124:CUH983125 DED983124:DED983125 DNZ983124:DNZ983125 DXV983124:DXV983125 EHR983124:EHR983125 ERN983124:ERN983125 FBJ983124:FBJ983125 FLF983124:FLF983125 FVB983124:FVB983125 GEX983124:GEX983125 GOT983124:GOT983125 GYP983124:GYP983125 HIL983124:HIL983125 HSH983124:HSH983125 ICD983124:ICD983125 ILZ983124:ILZ983125 IVV983124:IVV983125 JFR983124:JFR983125 JPN983124:JPN983125 JZJ983124:JZJ983125 KJF983124:KJF983125 KTB983124:KTB983125 LCX983124:LCX983125 LMT983124:LMT983125 LWP983124:LWP983125 MGL983124:MGL983125 MQH983124:MQH983125 NAD983124:NAD983125 NJZ983124:NJZ983125 NTV983124:NTV983125 ODR983124:ODR983125 ONN983124:ONN983125 OXJ983124:OXJ983125 PHF983124:PHF983125 PRB983124:PRB983125 QAX983124:QAX983125 QKT983124:QKT983125 QUP983124:QUP983125 REL983124:REL983125 ROH983124:ROH983125 RYD983124:RYD983125 SHZ983124:SHZ983125 SRV983124:SRV983125 TBR983124:TBR983125 TLN983124:TLN983125 TVJ983124:TVJ983125 UFF983124:UFF983125 UPB983124:UPB983125 UYX983124:UYX983125 VIT983124:VIT983125 VSP983124:VSP983125 WCL983124:WCL983125 WMH983124:WMH983125 WWD983124:WWD983125 AMY71:AMY77 JR84:JR86 TN84:TN86 ADJ84:ADJ86 ANF84:ANF86 AXB84:AXB86 BGX84:BGX86 BQT84:BQT86 CAP84:CAP86 CKL84:CKL86 CUH84:CUH86 DED84:DED86 DNZ84:DNZ86 DXV84:DXV86 EHR84:EHR86 ERN84:ERN86 FBJ84:FBJ86 FLF84:FLF86 FVB84:FVB86 GEX84:GEX86 GOT84:GOT86 GYP84:GYP86 HIL84:HIL86 HSH84:HSH86 ICD84:ICD86 ILZ84:ILZ86 IVV84:IVV86 JFR84:JFR86 JPN84:JPN86 JZJ84:JZJ86 KJF84:KJF86 KTB84:KTB86 LCX84:LCX86 LMT84:LMT86 LWP84:LWP86 MGL84:MGL86 MQH84:MQH86 NAD84:NAD86 NJZ84:NJZ86 NTV84:NTV86 ODR84:ODR86 ONN84:ONN86 OXJ84:OXJ86 PHF84:PHF86 PRB84:PRB86 QAX84:QAX86 QKT84:QKT86 QUP84:QUP86 REL84:REL86 ROH84:ROH86 RYD84:RYD86 SHZ84:SHZ86 SRV84:SRV86 TBR84:TBR86 TLN84:TLN86 TVJ84:TVJ86 UFF84:UFF86 UPB84:UPB86 UYX84:UYX86 VIT84:VIT86 VSP84:VSP86 WCL84:WCL86 WMH84:WMH86 WWD84:WWD86 V65623 JR65623 TN65623 ADJ65623 ANF65623 AXB65623 BGX65623 BQT65623 CAP65623 CKL65623 CUH65623 DED65623 DNZ65623 DXV65623 EHR65623 ERN65623 FBJ65623 FLF65623 FVB65623 GEX65623 GOT65623 GYP65623 HIL65623 HSH65623 ICD65623 ILZ65623 IVV65623 JFR65623 JPN65623 JZJ65623 KJF65623 KTB65623 LCX65623 LMT65623 LWP65623 MGL65623 MQH65623 NAD65623 NJZ65623 NTV65623 ODR65623 ONN65623 OXJ65623 PHF65623 PRB65623 QAX65623 QKT65623 QUP65623 REL65623 ROH65623 RYD65623 SHZ65623 SRV65623 TBR65623 TLN65623 TVJ65623 UFF65623 UPB65623 UYX65623 VIT65623 VSP65623 WCL65623 WMH65623 WWD65623 V131159 JR131159 TN131159 ADJ131159 ANF131159 AXB131159 BGX131159 BQT131159 CAP131159 CKL131159 CUH131159 DED131159 DNZ131159 DXV131159 EHR131159 ERN131159 FBJ131159 FLF131159 FVB131159 GEX131159 GOT131159 GYP131159 HIL131159 HSH131159 ICD131159 ILZ131159 IVV131159 JFR131159 JPN131159 JZJ131159 KJF131159 KTB131159 LCX131159 LMT131159 LWP131159 MGL131159 MQH131159 NAD131159 NJZ131159 NTV131159 ODR131159 ONN131159 OXJ131159 PHF131159 PRB131159 QAX131159 QKT131159 QUP131159 REL131159 ROH131159 RYD131159 SHZ131159 SRV131159 TBR131159 TLN131159 TVJ131159 UFF131159 UPB131159 UYX131159 VIT131159 VSP131159 WCL131159 WMH131159 WWD131159 V196695 JR196695 TN196695 ADJ196695 ANF196695 AXB196695 BGX196695 BQT196695 CAP196695 CKL196695 CUH196695 DED196695 DNZ196695 DXV196695 EHR196695 ERN196695 FBJ196695 FLF196695 FVB196695 GEX196695 GOT196695 GYP196695 HIL196695 HSH196695 ICD196695 ILZ196695 IVV196695 JFR196695 JPN196695 JZJ196695 KJF196695 KTB196695 LCX196695 LMT196695 LWP196695 MGL196695 MQH196695 NAD196695 NJZ196695 NTV196695 ODR196695 ONN196695 OXJ196695 PHF196695 PRB196695 QAX196695 QKT196695 QUP196695 REL196695 ROH196695 RYD196695 SHZ196695 SRV196695 TBR196695 TLN196695 TVJ196695 UFF196695 UPB196695 UYX196695 VIT196695 VSP196695 WCL196695 WMH196695 WWD196695 V262231 JR262231 TN262231 ADJ262231 ANF262231 AXB262231 BGX262231 BQT262231 CAP262231 CKL262231 CUH262231 DED262231 DNZ262231 DXV262231 EHR262231 ERN262231 FBJ262231 FLF262231 FVB262231 GEX262231 GOT262231 GYP262231 HIL262231 HSH262231 ICD262231 ILZ262231 IVV262231 JFR262231 JPN262231 JZJ262231 KJF262231 KTB262231 LCX262231 LMT262231 LWP262231 MGL262231 MQH262231 NAD262231 NJZ262231 NTV262231 ODR262231 ONN262231 OXJ262231 PHF262231 PRB262231 QAX262231 QKT262231 QUP262231 REL262231 ROH262231 RYD262231 SHZ262231 SRV262231 TBR262231 TLN262231 TVJ262231 UFF262231 UPB262231 UYX262231 VIT262231 VSP262231 WCL262231 WMH262231 WWD262231 V327767 JR327767 TN327767 ADJ327767 ANF327767 AXB327767 BGX327767 BQT327767 CAP327767 CKL327767 CUH327767 DED327767 DNZ327767 DXV327767 EHR327767 ERN327767 FBJ327767 FLF327767 FVB327767 GEX327767 GOT327767 GYP327767 HIL327767 HSH327767 ICD327767 ILZ327767 IVV327767 JFR327767 JPN327767 JZJ327767 KJF327767 KTB327767 LCX327767 LMT327767 LWP327767 MGL327767 MQH327767 NAD327767 NJZ327767 NTV327767 ODR327767 ONN327767 OXJ327767 PHF327767 PRB327767 QAX327767 QKT327767 QUP327767 REL327767 ROH327767 RYD327767 SHZ327767 SRV327767 TBR327767 TLN327767 TVJ327767 UFF327767 UPB327767 UYX327767 VIT327767 VSP327767 WCL327767 WMH327767 WWD327767 V393303 JR393303 TN393303 ADJ393303 ANF393303 AXB393303 BGX393303 BQT393303 CAP393303 CKL393303 CUH393303 DED393303 DNZ393303 DXV393303 EHR393303 ERN393303 FBJ393303 FLF393303 FVB393303 GEX393303 GOT393303 GYP393303 HIL393303 HSH393303 ICD393303 ILZ393303 IVV393303 JFR393303 JPN393303 JZJ393303 KJF393303 KTB393303 LCX393303 LMT393303 LWP393303 MGL393303 MQH393303 NAD393303 NJZ393303 NTV393303 ODR393303 ONN393303 OXJ393303 PHF393303 PRB393303 QAX393303 QKT393303 QUP393303 REL393303 ROH393303 RYD393303 SHZ393303 SRV393303 TBR393303 TLN393303 TVJ393303 UFF393303 UPB393303 UYX393303 VIT393303 VSP393303 WCL393303 WMH393303 WWD393303 V458839 JR458839 TN458839 ADJ458839 ANF458839 AXB458839 BGX458839 BQT458839 CAP458839 CKL458839 CUH458839 DED458839 DNZ458839 DXV458839 EHR458839 ERN458839 FBJ458839 FLF458839 FVB458839 GEX458839 GOT458839 GYP458839 HIL458839 HSH458839 ICD458839 ILZ458839 IVV458839 JFR458839 JPN458839 JZJ458839 KJF458839 KTB458839 LCX458839 LMT458839 LWP458839 MGL458839 MQH458839 NAD458839 NJZ458839 NTV458839 ODR458839 ONN458839 OXJ458839 PHF458839 PRB458839 QAX458839 QKT458839 QUP458839 REL458839 ROH458839 RYD458839 SHZ458839 SRV458839 TBR458839 TLN458839 TVJ458839 UFF458839 UPB458839 UYX458839 VIT458839 VSP458839 WCL458839 WMH458839 WWD458839 V524375 JR524375 TN524375 ADJ524375 ANF524375 AXB524375 BGX524375 BQT524375 CAP524375 CKL524375 CUH524375 DED524375 DNZ524375 DXV524375 EHR524375 ERN524375 FBJ524375 FLF524375 FVB524375 GEX524375 GOT524375 GYP524375 HIL524375 HSH524375 ICD524375 ILZ524375 IVV524375 JFR524375 JPN524375 JZJ524375 KJF524375 KTB524375 LCX524375 LMT524375 LWP524375 MGL524375 MQH524375 NAD524375 NJZ524375 NTV524375 ODR524375 ONN524375 OXJ524375 PHF524375 PRB524375 QAX524375 QKT524375 QUP524375 REL524375 ROH524375 RYD524375 SHZ524375 SRV524375 TBR524375 TLN524375 TVJ524375 UFF524375 UPB524375 UYX524375 VIT524375 VSP524375 WCL524375 WMH524375 WWD524375 V589911 JR589911 TN589911 ADJ589911 ANF589911 AXB589911 BGX589911 BQT589911 CAP589911 CKL589911 CUH589911 DED589911 DNZ589911 DXV589911 EHR589911 ERN589911 FBJ589911 FLF589911 FVB589911 GEX589911 GOT589911 GYP589911 HIL589911 HSH589911 ICD589911 ILZ589911 IVV589911 JFR589911 JPN589911 JZJ589911 KJF589911 KTB589911 LCX589911 LMT589911 LWP589911 MGL589911 MQH589911 NAD589911 NJZ589911 NTV589911 ODR589911 ONN589911 OXJ589911 PHF589911 PRB589911 QAX589911 QKT589911 QUP589911 REL589911 ROH589911 RYD589911 SHZ589911 SRV589911 TBR589911 TLN589911 TVJ589911 UFF589911 UPB589911 UYX589911 VIT589911 VSP589911 WCL589911 WMH589911 WWD589911 V655447 JR655447 TN655447 ADJ655447 ANF655447 AXB655447 BGX655447 BQT655447 CAP655447 CKL655447 CUH655447 DED655447 DNZ655447 DXV655447 EHR655447 ERN655447 FBJ655447 FLF655447 FVB655447 GEX655447 GOT655447 GYP655447 HIL655447 HSH655447 ICD655447 ILZ655447 IVV655447 JFR655447 JPN655447 JZJ655447 KJF655447 KTB655447 LCX655447 LMT655447 LWP655447 MGL655447 MQH655447 NAD655447 NJZ655447 NTV655447 ODR655447 ONN655447 OXJ655447 PHF655447 PRB655447 QAX655447 QKT655447 QUP655447 REL655447 ROH655447 RYD655447 SHZ655447 SRV655447 TBR655447 TLN655447 TVJ655447 UFF655447 UPB655447 UYX655447 VIT655447 VSP655447 WCL655447 WMH655447 WWD655447 V720983 JR720983 TN720983 ADJ720983 ANF720983 AXB720983 BGX720983 BQT720983 CAP720983 CKL720983 CUH720983 DED720983 DNZ720983 DXV720983 EHR720983 ERN720983 FBJ720983 FLF720983 FVB720983 GEX720983 GOT720983 GYP720983 HIL720983 HSH720983 ICD720983 ILZ720983 IVV720983 JFR720983 JPN720983 JZJ720983 KJF720983 KTB720983 LCX720983 LMT720983 LWP720983 MGL720983 MQH720983 NAD720983 NJZ720983 NTV720983 ODR720983 ONN720983 OXJ720983 PHF720983 PRB720983 QAX720983 QKT720983 QUP720983 REL720983 ROH720983 RYD720983 SHZ720983 SRV720983 TBR720983 TLN720983 TVJ720983 UFF720983 UPB720983 UYX720983 VIT720983 VSP720983 WCL720983 WMH720983 WWD720983 V786519 JR786519 TN786519 ADJ786519 ANF786519 AXB786519 BGX786519 BQT786519 CAP786519 CKL786519 CUH786519 DED786519 DNZ786519 DXV786519 EHR786519 ERN786519 FBJ786519 FLF786519 FVB786519 GEX786519 GOT786519 GYP786519 HIL786519 HSH786519 ICD786519 ILZ786519 IVV786519 JFR786519 JPN786519 JZJ786519 KJF786519 KTB786519 LCX786519 LMT786519 LWP786519 MGL786519 MQH786519 NAD786519 NJZ786519 NTV786519 ODR786519 ONN786519 OXJ786519 PHF786519 PRB786519 QAX786519 QKT786519 QUP786519 REL786519 ROH786519 RYD786519 SHZ786519 SRV786519 TBR786519 TLN786519 TVJ786519 UFF786519 UPB786519 UYX786519 VIT786519 VSP786519 WCL786519 WMH786519 WWD786519 V852055 JR852055 TN852055 ADJ852055 ANF852055 AXB852055 BGX852055 BQT852055 CAP852055 CKL852055 CUH852055 DED852055 DNZ852055 DXV852055 EHR852055 ERN852055 FBJ852055 FLF852055 FVB852055 GEX852055 GOT852055 GYP852055 HIL852055 HSH852055 ICD852055 ILZ852055 IVV852055 JFR852055 JPN852055 JZJ852055 KJF852055 KTB852055 LCX852055 LMT852055 LWP852055 MGL852055 MQH852055 NAD852055 NJZ852055 NTV852055 ODR852055 ONN852055 OXJ852055 PHF852055 PRB852055 QAX852055 QKT852055 QUP852055 REL852055 ROH852055 RYD852055 SHZ852055 SRV852055 TBR852055 TLN852055 TVJ852055 UFF852055 UPB852055 UYX852055 VIT852055 VSP852055 WCL852055 WMH852055 WWD852055 V917591 JR917591 TN917591 ADJ917591 ANF917591 AXB917591 BGX917591 BQT917591 CAP917591 CKL917591 CUH917591 DED917591 DNZ917591 DXV917591 EHR917591 ERN917591 FBJ917591 FLF917591 FVB917591 GEX917591 GOT917591 GYP917591 HIL917591 HSH917591 ICD917591 ILZ917591 IVV917591 JFR917591 JPN917591 JZJ917591 KJF917591 KTB917591 LCX917591 LMT917591 LWP917591 MGL917591 MQH917591 NAD917591 NJZ917591 NTV917591 ODR917591 ONN917591 OXJ917591 PHF917591 PRB917591 QAX917591 QKT917591 QUP917591 REL917591 ROH917591 RYD917591 SHZ917591 SRV917591 TBR917591 TLN917591 TVJ917591 UFF917591 UPB917591 UYX917591 VIT917591 VSP917591 WCL917591 WMH917591 WWD917591 V983127 JR983127 TN983127 ADJ983127 ANF983127 AXB983127 BGX983127 BQT983127 CAP983127 CKL983127 CUH983127 DED983127 DNZ983127 DXV983127 EHR983127 ERN983127 FBJ983127 FLF983127 FVB983127 GEX983127 GOT983127 GYP983127 HIL983127 HSH983127 ICD983127 ILZ983127 IVV983127 JFR983127 JPN983127 JZJ983127 KJF983127 KTB983127 LCX983127 LMT983127 LWP983127 MGL983127 MQH983127 NAD983127 NJZ983127 NTV983127 ODR983127 ONN983127 OXJ983127 PHF983127 PRB983127 QAX983127 QKT983127 QUP983127 REL983127 ROH983127 RYD983127 SHZ983127 SRV983127 TBR983127 TLN983127 TVJ983127 UFF983127 UPB983127 UYX983127 VIT983127 VSP983127 WCL983127 WMH983127 WWD983127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TKY983143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V131116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V196652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V262188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V327724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V393260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V458796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V524332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V589868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V655404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V720940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V786476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V852012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V917548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V983084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UEQ983143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UOM983143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UYI983143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VIE983143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VSA983143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WBW983143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WLS983143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JB49:JB53 SX49:SX53 ACT49:ACT53 AMP49:AMP53 AWL49:AWL53 BGH49:BGH53 BQD49:BQD53 BZZ49:BZZ53 CJV49:CJV53 CTR49:CTR53 DDN49:DDN53 DNJ49:DNJ53 DXF49:DXF53 EHB49:EHB53 EQX49:EQX53 FAT49:FAT53 FKP49:FKP53 FUL49:FUL53 GEH49:GEH53 GOD49:GOD53 GXZ49:GXZ53 HHV49:HHV53 HRR49:HRR53 IBN49:IBN53 ILJ49:ILJ53 IVF49:IVF53 JFB49:JFB53 JOX49:JOX53 JYT49:JYT53 KIP49:KIP53 KSL49:KSL53 LCH49:LCH53 LMD49:LMD53 LVZ49:LVZ53 MFV49:MFV53 MPR49:MPR53 MZN49:MZN53 NJJ49:NJJ53 NTF49:NTF53 ODB49:ODB53 OMX49:OMX53 OWT49:OWT53 PGP49:PGP53 PQL49:PQL53 QAH49:QAH53 QKD49:QKD53 QTZ49:QTZ53 RDV49:RDV53 RNR49:RNR53 RXN49:RXN53 SHJ49:SHJ53 SRF49:SRF53 TBB49:TBB53 TKX49:TKX53 TUT49:TUT53 UEP49:UEP53 UOL49:UOL53 UYH49:UYH53 VID49:VID53 VRZ49:VRZ53 WBV49:WBV53 WLR49:WLR53 WVN49:WVN53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WVO983143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TUU983143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AXC105:AXC107 JB113:JB117 SX113:SX117 ACT113:ACT117 AMP113:AMP117 AWL113:AWL117 BGH113:BGH117 BQD113:BQD117 BZZ113:BZZ117 CJV113:CJV117 CTR113:CTR117 DDN113:DDN117 DNJ113:DNJ117 DXF113:DXF117 EHB113:EHB117 EQX113:EQX117 FAT113:FAT117 FKP113:FKP117 FUL113:FUL117 GEH113:GEH117 GOD113:GOD117 GXZ113:GXZ117 HHV113:HHV117 HRR113:HRR117 IBN113:IBN117 ILJ113:ILJ117 IVF113:IVF117 JFB113:JFB117 JOX113:JOX117 JYT113:JYT117 KIP113:KIP117 KSL113:KSL117 LCH113:LCH117 LMD113:LMD117 LVZ113:LVZ117 MFV113:MFV117 MPR113:MPR117 MZN113:MZN117 NJJ113:NJJ117 NTF113:NTF117 ODB113:ODB117 OMX113:OMX117 OWT113:OWT117 PGP113:PGP117 PQL113:PQL117 QAH113:QAH117 QKD113:QKD117 QTZ113:QTZ117 RDV113:RDV117 RNR113:RNR117 RXN113:RXN117 SHJ113:SHJ117 SRF113:SRF117 TBB113:TBB117 TKX113:TKX117 TUT113:TUT117 UEP113:UEP117 UOL113:UOL117 UYH113:UYH117 VID113:VID117 VRZ113:VRZ117 WBV113:WBV117 WLR113:WLR117 WVN113:WVN117 F65649:F65653 JB65649:JB65653 SX65649:SX65653 ACT65649:ACT65653 AMP65649:AMP65653 AWL65649:AWL65653 BGH65649:BGH65653 BQD65649:BQD65653 BZZ65649:BZZ65653 CJV65649:CJV65653 CTR65649:CTR65653 DDN65649:DDN65653 DNJ65649:DNJ65653 DXF65649:DXF65653 EHB65649:EHB65653 EQX65649:EQX65653 FAT65649:FAT65653 FKP65649:FKP65653 FUL65649:FUL65653 GEH65649:GEH65653 GOD65649:GOD65653 GXZ65649:GXZ65653 HHV65649:HHV65653 HRR65649:HRR65653 IBN65649:IBN65653 ILJ65649:ILJ65653 IVF65649:IVF65653 JFB65649:JFB65653 JOX65649:JOX65653 JYT65649:JYT65653 KIP65649:KIP65653 KSL65649:KSL65653 LCH65649:LCH65653 LMD65649:LMD65653 LVZ65649:LVZ65653 MFV65649:MFV65653 MPR65649:MPR65653 MZN65649:MZN65653 NJJ65649:NJJ65653 NTF65649:NTF65653 ODB65649:ODB65653 OMX65649:OMX65653 OWT65649:OWT65653 PGP65649:PGP65653 PQL65649:PQL65653 QAH65649:QAH65653 QKD65649:QKD65653 QTZ65649:QTZ65653 RDV65649:RDV65653 RNR65649:RNR65653 RXN65649:RXN65653 SHJ65649:SHJ65653 SRF65649:SRF65653 TBB65649:TBB65653 TKX65649:TKX65653 TUT65649:TUT65653 UEP65649:UEP65653 UOL65649:UOL65653 UYH65649:UYH65653 VID65649:VID65653 VRZ65649:VRZ65653 WBV65649:WBV65653 WLR65649:WLR65653 WVN65649:WVN65653 F131185:F131189 JB131185:JB131189 SX131185:SX131189 ACT131185:ACT131189 AMP131185:AMP131189 AWL131185:AWL131189 BGH131185:BGH131189 BQD131185:BQD131189 BZZ131185:BZZ131189 CJV131185:CJV131189 CTR131185:CTR131189 DDN131185:DDN131189 DNJ131185:DNJ131189 DXF131185:DXF131189 EHB131185:EHB131189 EQX131185:EQX131189 FAT131185:FAT131189 FKP131185:FKP131189 FUL131185:FUL131189 GEH131185:GEH131189 GOD131185:GOD131189 GXZ131185:GXZ131189 HHV131185:HHV131189 HRR131185:HRR131189 IBN131185:IBN131189 ILJ131185:ILJ131189 IVF131185:IVF131189 JFB131185:JFB131189 JOX131185:JOX131189 JYT131185:JYT131189 KIP131185:KIP131189 KSL131185:KSL131189 LCH131185:LCH131189 LMD131185:LMD131189 LVZ131185:LVZ131189 MFV131185:MFV131189 MPR131185:MPR131189 MZN131185:MZN131189 NJJ131185:NJJ131189 NTF131185:NTF131189 ODB131185:ODB131189 OMX131185:OMX131189 OWT131185:OWT131189 PGP131185:PGP131189 PQL131185:PQL131189 QAH131185:QAH131189 QKD131185:QKD131189 QTZ131185:QTZ131189 RDV131185:RDV131189 RNR131185:RNR131189 RXN131185:RXN131189 SHJ131185:SHJ131189 SRF131185:SRF131189 TBB131185:TBB131189 TKX131185:TKX131189 TUT131185:TUT131189 UEP131185:UEP131189 UOL131185:UOL131189 UYH131185:UYH131189 VID131185:VID131189 VRZ131185:VRZ131189 WBV131185:WBV131189 WLR131185:WLR131189 WVN131185:WVN131189 F196721:F196725 JB196721:JB196725 SX196721:SX196725 ACT196721:ACT196725 AMP196721:AMP196725 AWL196721:AWL196725 BGH196721:BGH196725 BQD196721:BQD196725 BZZ196721:BZZ196725 CJV196721:CJV196725 CTR196721:CTR196725 DDN196721:DDN196725 DNJ196721:DNJ196725 DXF196721:DXF196725 EHB196721:EHB196725 EQX196721:EQX196725 FAT196721:FAT196725 FKP196721:FKP196725 FUL196721:FUL196725 GEH196721:GEH196725 GOD196721:GOD196725 GXZ196721:GXZ196725 HHV196721:HHV196725 HRR196721:HRR196725 IBN196721:IBN196725 ILJ196721:ILJ196725 IVF196721:IVF196725 JFB196721:JFB196725 JOX196721:JOX196725 JYT196721:JYT196725 KIP196721:KIP196725 KSL196721:KSL196725 LCH196721:LCH196725 LMD196721:LMD196725 LVZ196721:LVZ196725 MFV196721:MFV196725 MPR196721:MPR196725 MZN196721:MZN196725 NJJ196721:NJJ196725 NTF196721:NTF196725 ODB196721:ODB196725 OMX196721:OMX196725 OWT196721:OWT196725 PGP196721:PGP196725 PQL196721:PQL196725 QAH196721:QAH196725 QKD196721:QKD196725 QTZ196721:QTZ196725 RDV196721:RDV196725 RNR196721:RNR196725 RXN196721:RXN196725 SHJ196721:SHJ196725 SRF196721:SRF196725 TBB196721:TBB196725 TKX196721:TKX196725 TUT196721:TUT196725 UEP196721:UEP196725 UOL196721:UOL196725 UYH196721:UYH196725 VID196721:VID196725 VRZ196721:VRZ196725 WBV196721:WBV196725 WLR196721:WLR196725 WVN196721:WVN196725 F262257:F262261 JB262257:JB262261 SX262257:SX262261 ACT262257:ACT262261 AMP262257:AMP262261 AWL262257:AWL262261 BGH262257:BGH262261 BQD262257:BQD262261 BZZ262257:BZZ262261 CJV262257:CJV262261 CTR262257:CTR262261 DDN262257:DDN262261 DNJ262257:DNJ262261 DXF262257:DXF262261 EHB262257:EHB262261 EQX262257:EQX262261 FAT262257:FAT262261 FKP262257:FKP262261 FUL262257:FUL262261 GEH262257:GEH262261 GOD262257:GOD262261 GXZ262257:GXZ262261 HHV262257:HHV262261 HRR262257:HRR262261 IBN262257:IBN262261 ILJ262257:ILJ262261 IVF262257:IVF262261 JFB262257:JFB262261 JOX262257:JOX262261 JYT262257:JYT262261 KIP262257:KIP262261 KSL262257:KSL262261 LCH262257:LCH262261 LMD262257:LMD262261 LVZ262257:LVZ262261 MFV262257:MFV262261 MPR262257:MPR262261 MZN262257:MZN262261 NJJ262257:NJJ262261 NTF262257:NTF262261 ODB262257:ODB262261 OMX262257:OMX262261 OWT262257:OWT262261 PGP262257:PGP262261 PQL262257:PQL262261 QAH262257:QAH262261 QKD262257:QKD262261 QTZ262257:QTZ262261 RDV262257:RDV262261 RNR262257:RNR262261 RXN262257:RXN262261 SHJ262257:SHJ262261 SRF262257:SRF262261 TBB262257:TBB262261 TKX262257:TKX262261 TUT262257:TUT262261 UEP262257:UEP262261 UOL262257:UOL262261 UYH262257:UYH262261 VID262257:VID262261 VRZ262257:VRZ262261 WBV262257:WBV262261 WLR262257:WLR262261 WVN262257:WVN262261 F327793:F327797 JB327793:JB327797 SX327793:SX327797 ACT327793:ACT327797 AMP327793:AMP327797 AWL327793:AWL327797 BGH327793:BGH327797 BQD327793:BQD327797 BZZ327793:BZZ327797 CJV327793:CJV327797 CTR327793:CTR327797 DDN327793:DDN327797 DNJ327793:DNJ327797 DXF327793:DXF327797 EHB327793:EHB327797 EQX327793:EQX327797 FAT327793:FAT327797 FKP327793:FKP327797 FUL327793:FUL327797 GEH327793:GEH327797 GOD327793:GOD327797 GXZ327793:GXZ327797 HHV327793:HHV327797 HRR327793:HRR327797 IBN327793:IBN327797 ILJ327793:ILJ327797 IVF327793:IVF327797 JFB327793:JFB327797 JOX327793:JOX327797 JYT327793:JYT327797 KIP327793:KIP327797 KSL327793:KSL327797 LCH327793:LCH327797 LMD327793:LMD327797 LVZ327793:LVZ327797 MFV327793:MFV327797 MPR327793:MPR327797 MZN327793:MZN327797 NJJ327793:NJJ327797 NTF327793:NTF327797 ODB327793:ODB327797 OMX327793:OMX327797 OWT327793:OWT327797 PGP327793:PGP327797 PQL327793:PQL327797 QAH327793:QAH327797 QKD327793:QKD327797 QTZ327793:QTZ327797 RDV327793:RDV327797 RNR327793:RNR327797 RXN327793:RXN327797 SHJ327793:SHJ327797 SRF327793:SRF327797 TBB327793:TBB327797 TKX327793:TKX327797 TUT327793:TUT327797 UEP327793:UEP327797 UOL327793:UOL327797 UYH327793:UYH327797 VID327793:VID327797 VRZ327793:VRZ327797 WBV327793:WBV327797 WLR327793:WLR327797 WVN327793:WVN327797 F393329:F393333 JB393329:JB393333 SX393329:SX393333 ACT393329:ACT393333 AMP393329:AMP393333 AWL393329:AWL393333 BGH393329:BGH393333 BQD393329:BQD393333 BZZ393329:BZZ393333 CJV393329:CJV393333 CTR393329:CTR393333 DDN393329:DDN393333 DNJ393329:DNJ393333 DXF393329:DXF393333 EHB393329:EHB393333 EQX393329:EQX393333 FAT393329:FAT393333 FKP393329:FKP393333 FUL393329:FUL393333 GEH393329:GEH393333 GOD393329:GOD393333 GXZ393329:GXZ393333 HHV393329:HHV393333 HRR393329:HRR393333 IBN393329:IBN393333 ILJ393329:ILJ393333 IVF393329:IVF393333 JFB393329:JFB393333 JOX393329:JOX393333 JYT393329:JYT393333 KIP393329:KIP393333 KSL393329:KSL393333 LCH393329:LCH393333 LMD393329:LMD393333 LVZ393329:LVZ393333 MFV393329:MFV393333 MPR393329:MPR393333 MZN393329:MZN393333 NJJ393329:NJJ393333 NTF393329:NTF393333 ODB393329:ODB393333 OMX393329:OMX393333 OWT393329:OWT393333 PGP393329:PGP393333 PQL393329:PQL393333 QAH393329:QAH393333 QKD393329:QKD393333 QTZ393329:QTZ393333 RDV393329:RDV393333 RNR393329:RNR393333 RXN393329:RXN393333 SHJ393329:SHJ393333 SRF393329:SRF393333 TBB393329:TBB393333 TKX393329:TKX393333 TUT393329:TUT393333 UEP393329:UEP393333 UOL393329:UOL393333 UYH393329:UYH393333 VID393329:VID393333 VRZ393329:VRZ393333 WBV393329:WBV393333 WLR393329:WLR393333 WVN393329:WVN393333 F458865:F458869 JB458865:JB458869 SX458865:SX458869 ACT458865:ACT458869 AMP458865:AMP458869 AWL458865:AWL458869 BGH458865:BGH458869 BQD458865:BQD458869 BZZ458865:BZZ458869 CJV458865:CJV458869 CTR458865:CTR458869 DDN458865:DDN458869 DNJ458865:DNJ458869 DXF458865:DXF458869 EHB458865:EHB458869 EQX458865:EQX458869 FAT458865:FAT458869 FKP458865:FKP458869 FUL458865:FUL458869 GEH458865:GEH458869 GOD458865:GOD458869 GXZ458865:GXZ458869 HHV458865:HHV458869 HRR458865:HRR458869 IBN458865:IBN458869 ILJ458865:ILJ458869 IVF458865:IVF458869 JFB458865:JFB458869 JOX458865:JOX458869 JYT458865:JYT458869 KIP458865:KIP458869 KSL458865:KSL458869 LCH458865:LCH458869 LMD458865:LMD458869 LVZ458865:LVZ458869 MFV458865:MFV458869 MPR458865:MPR458869 MZN458865:MZN458869 NJJ458865:NJJ458869 NTF458865:NTF458869 ODB458865:ODB458869 OMX458865:OMX458869 OWT458865:OWT458869 PGP458865:PGP458869 PQL458865:PQL458869 QAH458865:QAH458869 QKD458865:QKD458869 QTZ458865:QTZ458869 RDV458865:RDV458869 RNR458865:RNR458869 RXN458865:RXN458869 SHJ458865:SHJ458869 SRF458865:SRF458869 TBB458865:TBB458869 TKX458865:TKX458869 TUT458865:TUT458869 UEP458865:UEP458869 UOL458865:UOL458869 UYH458865:UYH458869 VID458865:VID458869 VRZ458865:VRZ458869 WBV458865:WBV458869 WLR458865:WLR458869 WVN458865:WVN458869 F524401:F524405 JB524401:JB524405 SX524401:SX524405 ACT524401:ACT524405 AMP524401:AMP524405 AWL524401:AWL524405 BGH524401:BGH524405 BQD524401:BQD524405 BZZ524401:BZZ524405 CJV524401:CJV524405 CTR524401:CTR524405 DDN524401:DDN524405 DNJ524401:DNJ524405 DXF524401:DXF524405 EHB524401:EHB524405 EQX524401:EQX524405 FAT524401:FAT524405 FKP524401:FKP524405 FUL524401:FUL524405 GEH524401:GEH524405 GOD524401:GOD524405 GXZ524401:GXZ524405 HHV524401:HHV524405 HRR524401:HRR524405 IBN524401:IBN524405 ILJ524401:ILJ524405 IVF524401:IVF524405 JFB524401:JFB524405 JOX524401:JOX524405 JYT524401:JYT524405 KIP524401:KIP524405 KSL524401:KSL524405 LCH524401:LCH524405 LMD524401:LMD524405 LVZ524401:LVZ524405 MFV524401:MFV524405 MPR524401:MPR524405 MZN524401:MZN524405 NJJ524401:NJJ524405 NTF524401:NTF524405 ODB524401:ODB524405 OMX524401:OMX524405 OWT524401:OWT524405 PGP524401:PGP524405 PQL524401:PQL524405 QAH524401:QAH524405 QKD524401:QKD524405 QTZ524401:QTZ524405 RDV524401:RDV524405 RNR524401:RNR524405 RXN524401:RXN524405 SHJ524401:SHJ524405 SRF524401:SRF524405 TBB524401:TBB524405 TKX524401:TKX524405 TUT524401:TUT524405 UEP524401:UEP524405 UOL524401:UOL524405 UYH524401:UYH524405 VID524401:VID524405 VRZ524401:VRZ524405 WBV524401:WBV524405 WLR524401:WLR524405 WVN524401:WVN524405 F589937:F589941 JB589937:JB589941 SX589937:SX589941 ACT589937:ACT589941 AMP589937:AMP589941 AWL589937:AWL589941 BGH589937:BGH589941 BQD589937:BQD589941 BZZ589937:BZZ589941 CJV589937:CJV589941 CTR589937:CTR589941 DDN589937:DDN589941 DNJ589937:DNJ589941 DXF589937:DXF589941 EHB589937:EHB589941 EQX589937:EQX589941 FAT589937:FAT589941 FKP589937:FKP589941 FUL589937:FUL589941 GEH589937:GEH589941 GOD589937:GOD589941 GXZ589937:GXZ589941 HHV589937:HHV589941 HRR589937:HRR589941 IBN589937:IBN589941 ILJ589937:ILJ589941 IVF589937:IVF589941 JFB589937:JFB589941 JOX589937:JOX589941 JYT589937:JYT589941 KIP589937:KIP589941 KSL589937:KSL589941 LCH589937:LCH589941 LMD589937:LMD589941 LVZ589937:LVZ589941 MFV589937:MFV589941 MPR589937:MPR589941 MZN589937:MZN589941 NJJ589937:NJJ589941 NTF589937:NTF589941 ODB589937:ODB589941 OMX589937:OMX589941 OWT589937:OWT589941 PGP589937:PGP589941 PQL589937:PQL589941 QAH589937:QAH589941 QKD589937:QKD589941 QTZ589937:QTZ589941 RDV589937:RDV589941 RNR589937:RNR589941 RXN589937:RXN589941 SHJ589937:SHJ589941 SRF589937:SRF589941 TBB589937:TBB589941 TKX589937:TKX589941 TUT589937:TUT589941 UEP589937:UEP589941 UOL589937:UOL589941 UYH589937:UYH589941 VID589937:VID589941 VRZ589937:VRZ589941 WBV589937:WBV589941 WLR589937:WLR589941 WVN589937:WVN589941 F655473:F655477 JB655473:JB655477 SX655473:SX655477 ACT655473:ACT655477 AMP655473:AMP655477 AWL655473:AWL655477 BGH655473:BGH655477 BQD655473:BQD655477 BZZ655473:BZZ655477 CJV655473:CJV655477 CTR655473:CTR655477 DDN655473:DDN655477 DNJ655473:DNJ655477 DXF655473:DXF655477 EHB655473:EHB655477 EQX655473:EQX655477 FAT655473:FAT655477 FKP655473:FKP655477 FUL655473:FUL655477 GEH655473:GEH655477 GOD655473:GOD655477 GXZ655473:GXZ655477 HHV655473:HHV655477 HRR655473:HRR655477 IBN655473:IBN655477 ILJ655473:ILJ655477 IVF655473:IVF655477 JFB655473:JFB655477 JOX655473:JOX655477 JYT655473:JYT655477 KIP655473:KIP655477 KSL655473:KSL655477 LCH655473:LCH655477 LMD655473:LMD655477 LVZ655473:LVZ655477 MFV655473:MFV655477 MPR655473:MPR655477 MZN655473:MZN655477 NJJ655473:NJJ655477 NTF655473:NTF655477 ODB655473:ODB655477 OMX655473:OMX655477 OWT655473:OWT655477 PGP655473:PGP655477 PQL655473:PQL655477 QAH655473:QAH655477 QKD655473:QKD655477 QTZ655473:QTZ655477 RDV655473:RDV655477 RNR655473:RNR655477 RXN655473:RXN655477 SHJ655473:SHJ655477 SRF655473:SRF655477 TBB655473:TBB655477 TKX655473:TKX655477 TUT655473:TUT655477 UEP655473:UEP655477 UOL655473:UOL655477 UYH655473:UYH655477 VID655473:VID655477 VRZ655473:VRZ655477 WBV655473:WBV655477 WLR655473:WLR655477 WVN655473:WVN655477 F721009:F721013 JB721009:JB721013 SX721009:SX721013 ACT721009:ACT721013 AMP721009:AMP721013 AWL721009:AWL721013 BGH721009:BGH721013 BQD721009:BQD721013 BZZ721009:BZZ721013 CJV721009:CJV721013 CTR721009:CTR721013 DDN721009:DDN721013 DNJ721009:DNJ721013 DXF721009:DXF721013 EHB721009:EHB721013 EQX721009:EQX721013 FAT721009:FAT721013 FKP721009:FKP721013 FUL721009:FUL721013 GEH721009:GEH721013 GOD721009:GOD721013 GXZ721009:GXZ721013 HHV721009:HHV721013 HRR721009:HRR721013 IBN721009:IBN721013 ILJ721009:ILJ721013 IVF721009:IVF721013 JFB721009:JFB721013 JOX721009:JOX721013 JYT721009:JYT721013 KIP721009:KIP721013 KSL721009:KSL721013 LCH721009:LCH721013 LMD721009:LMD721013 LVZ721009:LVZ721013 MFV721009:MFV721013 MPR721009:MPR721013 MZN721009:MZN721013 NJJ721009:NJJ721013 NTF721009:NTF721013 ODB721009:ODB721013 OMX721009:OMX721013 OWT721009:OWT721013 PGP721009:PGP721013 PQL721009:PQL721013 QAH721009:QAH721013 QKD721009:QKD721013 QTZ721009:QTZ721013 RDV721009:RDV721013 RNR721009:RNR721013 RXN721009:RXN721013 SHJ721009:SHJ721013 SRF721009:SRF721013 TBB721009:TBB721013 TKX721009:TKX721013 TUT721009:TUT721013 UEP721009:UEP721013 UOL721009:UOL721013 UYH721009:UYH721013 VID721009:VID721013 VRZ721009:VRZ721013 WBV721009:WBV721013 WLR721009:WLR721013 WVN721009:WVN721013 F786545:F786549 JB786545:JB786549 SX786545:SX786549 ACT786545:ACT786549 AMP786545:AMP786549 AWL786545:AWL786549 BGH786545:BGH786549 BQD786545:BQD786549 BZZ786545:BZZ786549 CJV786545:CJV786549 CTR786545:CTR786549 DDN786545:DDN786549 DNJ786545:DNJ786549 DXF786545:DXF786549 EHB786545:EHB786549 EQX786545:EQX786549 FAT786545:FAT786549 FKP786545:FKP786549 FUL786545:FUL786549 GEH786545:GEH786549 GOD786545:GOD786549 GXZ786545:GXZ786549 HHV786545:HHV786549 HRR786545:HRR786549 IBN786545:IBN786549 ILJ786545:ILJ786549 IVF786545:IVF786549 JFB786545:JFB786549 JOX786545:JOX786549 JYT786545:JYT786549 KIP786545:KIP786549 KSL786545:KSL786549 LCH786545:LCH786549 LMD786545:LMD786549 LVZ786545:LVZ786549 MFV786545:MFV786549 MPR786545:MPR786549 MZN786545:MZN786549 NJJ786545:NJJ786549 NTF786545:NTF786549 ODB786545:ODB786549 OMX786545:OMX786549 OWT786545:OWT786549 PGP786545:PGP786549 PQL786545:PQL786549 QAH786545:QAH786549 QKD786545:QKD786549 QTZ786545:QTZ786549 RDV786545:RDV786549 RNR786545:RNR786549 RXN786545:RXN786549 SHJ786545:SHJ786549 SRF786545:SRF786549 TBB786545:TBB786549 TKX786545:TKX786549 TUT786545:TUT786549 UEP786545:UEP786549 UOL786545:UOL786549 UYH786545:UYH786549 VID786545:VID786549 VRZ786545:VRZ786549 WBV786545:WBV786549 WLR786545:WLR786549 WVN786545:WVN786549 F852081:F852085 JB852081:JB852085 SX852081:SX852085 ACT852081:ACT852085 AMP852081:AMP852085 AWL852081:AWL852085 BGH852081:BGH852085 BQD852081:BQD852085 BZZ852081:BZZ852085 CJV852081:CJV852085 CTR852081:CTR852085 DDN852081:DDN852085 DNJ852081:DNJ852085 DXF852081:DXF852085 EHB852081:EHB852085 EQX852081:EQX852085 FAT852081:FAT852085 FKP852081:FKP852085 FUL852081:FUL852085 GEH852081:GEH852085 GOD852081:GOD852085 GXZ852081:GXZ852085 HHV852081:HHV852085 HRR852081:HRR852085 IBN852081:IBN852085 ILJ852081:ILJ852085 IVF852081:IVF852085 JFB852081:JFB852085 JOX852081:JOX852085 JYT852081:JYT852085 KIP852081:KIP852085 KSL852081:KSL852085 LCH852081:LCH852085 LMD852081:LMD852085 LVZ852081:LVZ852085 MFV852081:MFV852085 MPR852081:MPR852085 MZN852081:MZN852085 NJJ852081:NJJ852085 NTF852081:NTF852085 ODB852081:ODB852085 OMX852081:OMX852085 OWT852081:OWT852085 PGP852081:PGP852085 PQL852081:PQL852085 QAH852081:QAH852085 QKD852081:QKD852085 QTZ852081:QTZ852085 RDV852081:RDV852085 RNR852081:RNR852085 RXN852081:RXN852085 SHJ852081:SHJ852085 SRF852081:SRF852085 TBB852081:TBB852085 TKX852081:TKX852085 TUT852081:TUT852085 UEP852081:UEP852085 UOL852081:UOL852085 UYH852081:UYH852085 VID852081:VID852085 VRZ852081:VRZ852085 WBV852081:WBV852085 WLR852081:WLR852085 WVN852081:WVN852085 F917617:F917621 JB917617:JB917621 SX917617:SX917621 ACT917617:ACT917621 AMP917617:AMP917621 AWL917617:AWL917621 BGH917617:BGH917621 BQD917617:BQD917621 BZZ917617:BZZ917621 CJV917617:CJV917621 CTR917617:CTR917621 DDN917617:DDN917621 DNJ917617:DNJ917621 DXF917617:DXF917621 EHB917617:EHB917621 EQX917617:EQX917621 FAT917617:FAT917621 FKP917617:FKP917621 FUL917617:FUL917621 GEH917617:GEH917621 GOD917617:GOD917621 GXZ917617:GXZ917621 HHV917617:HHV917621 HRR917617:HRR917621 IBN917617:IBN917621 ILJ917617:ILJ917621 IVF917617:IVF917621 JFB917617:JFB917621 JOX917617:JOX917621 JYT917617:JYT917621 KIP917617:KIP917621 KSL917617:KSL917621 LCH917617:LCH917621 LMD917617:LMD917621 LVZ917617:LVZ917621 MFV917617:MFV917621 MPR917617:MPR917621 MZN917617:MZN917621 NJJ917617:NJJ917621 NTF917617:NTF917621 ODB917617:ODB917621 OMX917617:OMX917621 OWT917617:OWT917621 PGP917617:PGP917621 PQL917617:PQL917621 QAH917617:QAH917621 QKD917617:QKD917621 QTZ917617:QTZ917621 RDV917617:RDV917621 RNR917617:RNR917621 RXN917617:RXN917621 SHJ917617:SHJ917621 SRF917617:SRF917621 TBB917617:TBB917621 TKX917617:TKX917621 TUT917617:TUT917621 UEP917617:UEP917621 UOL917617:UOL917621 UYH917617:UYH917621 VID917617:VID917621 VRZ917617:VRZ917621 WBV917617:WBV917621 WLR917617:WLR917621 WVN917617:WVN917621 F983153:F983157 JB983153:JB983157 SX983153:SX983157 ACT983153:ACT983157 AMP983153:AMP983157 AWL983153:AWL983157 BGH983153:BGH983157 BQD983153:BQD983157 BZZ983153:BZZ983157 CJV983153:CJV983157 CTR983153:CTR983157 DDN983153:DDN983157 DNJ983153:DNJ983157 DXF983153:DXF983157 EHB983153:EHB983157 EQX983153:EQX983157 FAT983153:FAT983157 FKP983153:FKP983157 FUL983153:FUL983157 GEH983153:GEH983157 GOD983153:GOD983157 GXZ983153:GXZ983157 HHV983153:HHV983157 HRR983153:HRR983157 IBN983153:IBN983157 ILJ983153:ILJ983157 IVF983153:IVF983157 JFB983153:JFB983157 JOX983153:JOX983157 JYT983153:JYT983157 KIP983153:KIP983157 KSL983153:KSL983157 LCH983153:LCH983157 LMD983153:LMD983157 LVZ983153:LVZ983157 MFV983153:MFV983157 MPR983153:MPR983157 MZN983153:MZN983157 NJJ983153:NJJ983157 NTF983153:NTF983157 ODB983153:ODB983157 OMX983153:OMX983157 OWT983153:OWT983157 PGP983153:PGP983157 PQL983153:PQL983157 QAH983153:QAH983157 QKD983153:QKD983157 QTZ983153:QTZ983157 RDV983153:RDV983157 RNR983153:RNR983157 RXN983153:RXN983157 SHJ983153:SHJ983157 SRF983153:SRF983157 TBB983153:TBB983157 TKX983153:TKX983157 TUT983153:TUT983157 UEP983153:UEP983157 UOL983153:UOL983157 UYH983153:UYH983157 VID983153:VID983157 VRZ983153:VRZ983157 WBV983153:WBV983157 WLR983153:WLR983157 WVN983153:WVN983157 BGY105:BGY107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JS105:JS107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CKM105:CKM107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P65656 JL65656 TH65656 ADD65656 AMZ65656 AWV65656 BGR65656 BQN65656 CAJ65656 CKF65656 CUB65656 DDX65656 DNT65656 DXP65656 EHL65656 ERH65656 FBD65656 FKZ65656 FUV65656 GER65656 GON65656 GYJ65656 HIF65656 HSB65656 IBX65656 ILT65656 IVP65656 JFL65656 JPH65656 JZD65656 KIZ65656 KSV65656 LCR65656 LMN65656 LWJ65656 MGF65656 MQB65656 MZX65656 NJT65656 NTP65656 ODL65656 ONH65656 OXD65656 PGZ65656 PQV65656 QAR65656 QKN65656 QUJ65656 REF65656 ROB65656 RXX65656 SHT65656 SRP65656 TBL65656 TLH65656 TVD65656 UEZ65656 UOV65656 UYR65656 VIN65656 VSJ65656 WCF65656 WMB65656 WVX65656 P131192 JL131192 TH131192 ADD131192 AMZ131192 AWV131192 BGR131192 BQN131192 CAJ131192 CKF131192 CUB131192 DDX131192 DNT131192 DXP131192 EHL131192 ERH131192 FBD131192 FKZ131192 FUV131192 GER131192 GON131192 GYJ131192 HIF131192 HSB131192 IBX131192 ILT131192 IVP131192 JFL131192 JPH131192 JZD131192 KIZ131192 KSV131192 LCR131192 LMN131192 LWJ131192 MGF131192 MQB131192 MZX131192 NJT131192 NTP131192 ODL131192 ONH131192 OXD131192 PGZ131192 PQV131192 QAR131192 QKN131192 QUJ131192 REF131192 ROB131192 RXX131192 SHT131192 SRP131192 TBL131192 TLH131192 TVD131192 UEZ131192 UOV131192 UYR131192 VIN131192 VSJ131192 WCF131192 WMB131192 WVX131192 P196728 JL196728 TH196728 ADD196728 AMZ196728 AWV196728 BGR196728 BQN196728 CAJ196728 CKF196728 CUB196728 DDX196728 DNT196728 DXP196728 EHL196728 ERH196728 FBD196728 FKZ196728 FUV196728 GER196728 GON196728 GYJ196728 HIF196728 HSB196728 IBX196728 ILT196728 IVP196728 JFL196728 JPH196728 JZD196728 KIZ196728 KSV196728 LCR196728 LMN196728 LWJ196728 MGF196728 MQB196728 MZX196728 NJT196728 NTP196728 ODL196728 ONH196728 OXD196728 PGZ196728 PQV196728 QAR196728 QKN196728 QUJ196728 REF196728 ROB196728 RXX196728 SHT196728 SRP196728 TBL196728 TLH196728 TVD196728 UEZ196728 UOV196728 UYR196728 VIN196728 VSJ196728 WCF196728 WMB196728 WVX196728 P262264 JL262264 TH262264 ADD262264 AMZ262264 AWV262264 BGR262264 BQN262264 CAJ262264 CKF262264 CUB262264 DDX262264 DNT262264 DXP262264 EHL262264 ERH262264 FBD262264 FKZ262264 FUV262264 GER262264 GON262264 GYJ262264 HIF262264 HSB262264 IBX262264 ILT262264 IVP262264 JFL262264 JPH262264 JZD262264 KIZ262264 KSV262264 LCR262264 LMN262264 LWJ262264 MGF262264 MQB262264 MZX262264 NJT262264 NTP262264 ODL262264 ONH262264 OXD262264 PGZ262264 PQV262264 QAR262264 QKN262264 QUJ262264 REF262264 ROB262264 RXX262264 SHT262264 SRP262264 TBL262264 TLH262264 TVD262264 UEZ262264 UOV262264 UYR262264 VIN262264 VSJ262264 WCF262264 WMB262264 WVX262264 P327800 JL327800 TH327800 ADD327800 AMZ327800 AWV327800 BGR327800 BQN327800 CAJ327800 CKF327800 CUB327800 DDX327800 DNT327800 DXP327800 EHL327800 ERH327800 FBD327800 FKZ327800 FUV327800 GER327800 GON327800 GYJ327800 HIF327800 HSB327800 IBX327800 ILT327800 IVP327800 JFL327800 JPH327800 JZD327800 KIZ327800 KSV327800 LCR327800 LMN327800 LWJ327800 MGF327800 MQB327800 MZX327800 NJT327800 NTP327800 ODL327800 ONH327800 OXD327800 PGZ327800 PQV327800 QAR327800 QKN327800 QUJ327800 REF327800 ROB327800 RXX327800 SHT327800 SRP327800 TBL327800 TLH327800 TVD327800 UEZ327800 UOV327800 UYR327800 VIN327800 VSJ327800 WCF327800 WMB327800 WVX327800 P393336 JL393336 TH393336 ADD393336 AMZ393336 AWV393336 BGR393336 BQN393336 CAJ393336 CKF393336 CUB393336 DDX393336 DNT393336 DXP393336 EHL393336 ERH393336 FBD393336 FKZ393336 FUV393336 GER393336 GON393336 GYJ393336 HIF393336 HSB393336 IBX393336 ILT393336 IVP393336 JFL393336 JPH393336 JZD393336 KIZ393336 KSV393336 LCR393336 LMN393336 LWJ393336 MGF393336 MQB393336 MZX393336 NJT393336 NTP393336 ODL393336 ONH393336 OXD393336 PGZ393336 PQV393336 QAR393336 QKN393336 QUJ393336 REF393336 ROB393336 RXX393336 SHT393336 SRP393336 TBL393336 TLH393336 TVD393336 UEZ393336 UOV393336 UYR393336 VIN393336 VSJ393336 WCF393336 WMB393336 WVX393336 P458872 JL458872 TH458872 ADD458872 AMZ458872 AWV458872 BGR458872 BQN458872 CAJ458872 CKF458872 CUB458872 DDX458872 DNT458872 DXP458872 EHL458872 ERH458872 FBD458872 FKZ458872 FUV458872 GER458872 GON458872 GYJ458872 HIF458872 HSB458872 IBX458872 ILT458872 IVP458872 JFL458872 JPH458872 JZD458872 KIZ458872 KSV458872 LCR458872 LMN458872 LWJ458872 MGF458872 MQB458872 MZX458872 NJT458872 NTP458872 ODL458872 ONH458872 OXD458872 PGZ458872 PQV458872 QAR458872 QKN458872 QUJ458872 REF458872 ROB458872 RXX458872 SHT458872 SRP458872 TBL458872 TLH458872 TVD458872 UEZ458872 UOV458872 UYR458872 VIN458872 VSJ458872 WCF458872 WMB458872 WVX458872 P524408 JL524408 TH524408 ADD524408 AMZ524408 AWV524408 BGR524408 BQN524408 CAJ524408 CKF524408 CUB524408 DDX524408 DNT524408 DXP524408 EHL524408 ERH524408 FBD524408 FKZ524408 FUV524408 GER524408 GON524408 GYJ524408 HIF524408 HSB524408 IBX524408 ILT524408 IVP524408 JFL524408 JPH524408 JZD524408 KIZ524408 KSV524408 LCR524408 LMN524408 LWJ524408 MGF524408 MQB524408 MZX524408 NJT524408 NTP524408 ODL524408 ONH524408 OXD524408 PGZ524408 PQV524408 QAR524408 QKN524408 QUJ524408 REF524408 ROB524408 RXX524408 SHT524408 SRP524408 TBL524408 TLH524408 TVD524408 UEZ524408 UOV524408 UYR524408 VIN524408 VSJ524408 WCF524408 WMB524408 WVX524408 P589944 JL589944 TH589944 ADD589944 AMZ589944 AWV589944 BGR589944 BQN589944 CAJ589944 CKF589944 CUB589944 DDX589944 DNT589944 DXP589944 EHL589944 ERH589944 FBD589944 FKZ589944 FUV589944 GER589944 GON589944 GYJ589944 HIF589944 HSB589944 IBX589944 ILT589944 IVP589944 JFL589944 JPH589944 JZD589944 KIZ589944 KSV589944 LCR589944 LMN589944 LWJ589944 MGF589944 MQB589944 MZX589944 NJT589944 NTP589944 ODL589944 ONH589944 OXD589944 PGZ589944 PQV589944 QAR589944 QKN589944 QUJ589944 REF589944 ROB589944 RXX589944 SHT589944 SRP589944 TBL589944 TLH589944 TVD589944 UEZ589944 UOV589944 UYR589944 VIN589944 VSJ589944 WCF589944 WMB589944 WVX589944 P655480 JL655480 TH655480 ADD655480 AMZ655480 AWV655480 BGR655480 BQN655480 CAJ655480 CKF655480 CUB655480 DDX655480 DNT655480 DXP655480 EHL655480 ERH655480 FBD655480 FKZ655480 FUV655480 GER655480 GON655480 GYJ655480 HIF655480 HSB655480 IBX655480 ILT655480 IVP655480 JFL655480 JPH655480 JZD655480 KIZ655480 KSV655480 LCR655480 LMN655480 LWJ655480 MGF655480 MQB655480 MZX655480 NJT655480 NTP655480 ODL655480 ONH655480 OXD655480 PGZ655480 PQV655480 QAR655480 QKN655480 QUJ655480 REF655480 ROB655480 RXX655480 SHT655480 SRP655480 TBL655480 TLH655480 TVD655480 UEZ655480 UOV655480 UYR655480 VIN655480 VSJ655480 WCF655480 WMB655480 WVX655480 P721016 JL721016 TH721016 ADD721016 AMZ721016 AWV721016 BGR721016 BQN721016 CAJ721016 CKF721016 CUB721016 DDX721016 DNT721016 DXP721016 EHL721016 ERH721016 FBD721016 FKZ721016 FUV721016 GER721016 GON721016 GYJ721016 HIF721016 HSB721016 IBX721016 ILT721016 IVP721016 JFL721016 JPH721016 JZD721016 KIZ721016 KSV721016 LCR721016 LMN721016 LWJ721016 MGF721016 MQB721016 MZX721016 NJT721016 NTP721016 ODL721016 ONH721016 OXD721016 PGZ721016 PQV721016 QAR721016 QKN721016 QUJ721016 REF721016 ROB721016 RXX721016 SHT721016 SRP721016 TBL721016 TLH721016 TVD721016 UEZ721016 UOV721016 UYR721016 VIN721016 VSJ721016 WCF721016 WMB721016 WVX721016 P786552 JL786552 TH786552 ADD786552 AMZ786552 AWV786552 BGR786552 BQN786552 CAJ786552 CKF786552 CUB786552 DDX786552 DNT786552 DXP786552 EHL786552 ERH786552 FBD786552 FKZ786552 FUV786552 GER786552 GON786552 GYJ786552 HIF786552 HSB786552 IBX786552 ILT786552 IVP786552 JFL786552 JPH786552 JZD786552 KIZ786552 KSV786552 LCR786552 LMN786552 LWJ786552 MGF786552 MQB786552 MZX786552 NJT786552 NTP786552 ODL786552 ONH786552 OXD786552 PGZ786552 PQV786552 QAR786552 QKN786552 QUJ786552 REF786552 ROB786552 RXX786552 SHT786552 SRP786552 TBL786552 TLH786552 TVD786552 UEZ786552 UOV786552 UYR786552 VIN786552 VSJ786552 WCF786552 WMB786552 WVX786552 P852088 JL852088 TH852088 ADD852088 AMZ852088 AWV852088 BGR852088 BQN852088 CAJ852088 CKF852088 CUB852088 DDX852088 DNT852088 DXP852088 EHL852088 ERH852088 FBD852088 FKZ852088 FUV852088 GER852088 GON852088 GYJ852088 HIF852088 HSB852088 IBX852088 ILT852088 IVP852088 JFL852088 JPH852088 JZD852088 KIZ852088 KSV852088 LCR852088 LMN852088 LWJ852088 MGF852088 MQB852088 MZX852088 NJT852088 NTP852088 ODL852088 ONH852088 OXD852088 PGZ852088 PQV852088 QAR852088 QKN852088 QUJ852088 REF852088 ROB852088 RXX852088 SHT852088 SRP852088 TBL852088 TLH852088 TVD852088 UEZ852088 UOV852088 UYR852088 VIN852088 VSJ852088 WCF852088 WMB852088 WVX852088 P917624 JL917624 TH917624 ADD917624 AMZ917624 AWV917624 BGR917624 BQN917624 CAJ917624 CKF917624 CUB917624 DDX917624 DNT917624 DXP917624 EHL917624 ERH917624 FBD917624 FKZ917624 FUV917624 GER917624 GON917624 GYJ917624 HIF917624 HSB917624 IBX917624 ILT917624 IVP917624 JFL917624 JPH917624 JZD917624 KIZ917624 KSV917624 LCR917624 LMN917624 LWJ917624 MGF917624 MQB917624 MZX917624 NJT917624 NTP917624 ODL917624 ONH917624 OXD917624 PGZ917624 PQV917624 QAR917624 QKN917624 QUJ917624 REF917624 ROB917624 RXX917624 SHT917624 SRP917624 TBL917624 TLH917624 TVD917624 UEZ917624 UOV917624 UYR917624 VIN917624 VSJ917624 WCF917624 WMB917624 WVX917624 P983160 JL983160 TH983160 ADD983160 AMZ983160 AWV983160 BGR983160 BQN983160 CAJ983160 CKF983160 CUB983160 DDX983160 DNT983160 DXP983160 EHL983160 ERH983160 FBD983160 FKZ983160 FUV983160 GER983160 GON983160 GYJ983160 HIF983160 HSB983160 IBX983160 ILT983160 IVP983160 JFL983160 JPH983160 JZD983160 KIZ983160 KSV983160 LCR983160 LMN983160 LWJ983160 MGF983160 MQB983160 MZX983160 NJT983160 NTP983160 ODL983160 ONH983160 OXD983160 PGZ983160 PQV983160 QAR983160 QKN983160 QUJ983160 REF983160 ROB983160 RXX983160 SHT983160 SRP983160 TBL983160 TLH983160 TVD983160 UEZ983160 UOV983160 UYR983160 VIN983160 VSJ983160 WCF983160 WMB983160 WVX983160 BQU105:BQU107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CAQ105:CAQ107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L65656 JH65656 TD65656 ACZ65656 AMV65656 AWR65656 BGN65656 BQJ65656 CAF65656 CKB65656 CTX65656 DDT65656 DNP65656 DXL65656 EHH65656 ERD65656 FAZ65656 FKV65656 FUR65656 GEN65656 GOJ65656 GYF65656 HIB65656 HRX65656 IBT65656 ILP65656 IVL65656 JFH65656 JPD65656 JYZ65656 KIV65656 KSR65656 LCN65656 LMJ65656 LWF65656 MGB65656 MPX65656 MZT65656 NJP65656 NTL65656 ODH65656 OND65656 OWZ65656 PGV65656 PQR65656 QAN65656 QKJ65656 QUF65656 REB65656 RNX65656 RXT65656 SHP65656 SRL65656 TBH65656 TLD65656 TUZ65656 UEV65656 UOR65656 UYN65656 VIJ65656 VSF65656 WCB65656 WLX65656 WVT65656 L131192 JH131192 TD131192 ACZ131192 AMV131192 AWR131192 BGN131192 BQJ131192 CAF131192 CKB131192 CTX131192 DDT131192 DNP131192 DXL131192 EHH131192 ERD131192 FAZ131192 FKV131192 FUR131192 GEN131192 GOJ131192 GYF131192 HIB131192 HRX131192 IBT131192 ILP131192 IVL131192 JFH131192 JPD131192 JYZ131192 KIV131192 KSR131192 LCN131192 LMJ131192 LWF131192 MGB131192 MPX131192 MZT131192 NJP131192 NTL131192 ODH131192 OND131192 OWZ131192 PGV131192 PQR131192 QAN131192 QKJ131192 QUF131192 REB131192 RNX131192 RXT131192 SHP131192 SRL131192 TBH131192 TLD131192 TUZ131192 UEV131192 UOR131192 UYN131192 VIJ131192 VSF131192 WCB131192 WLX131192 WVT131192 L196728 JH196728 TD196728 ACZ196728 AMV196728 AWR196728 BGN196728 BQJ196728 CAF196728 CKB196728 CTX196728 DDT196728 DNP196728 DXL196728 EHH196728 ERD196728 FAZ196728 FKV196728 FUR196728 GEN196728 GOJ196728 GYF196728 HIB196728 HRX196728 IBT196728 ILP196728 IVL196728 JFH196728 JPD196728 JYZ196728 KIV196728 KSR196728 LCN196728 LMJ196728 LWF196728 MGB196728 MPX196728 MZT196728 NJP196728 NTL196728 ODH196728 OND196728 OWZ196728 PGV196728 PQR196728 QAN196728 QKJ196728 QUF196728 REB196728 RNX196728 RXT196728 SHP196728 SRL196728 TBH196728 TLD196728 TUZ196728 UEV196728 UOR196728 UYN196728 VIJ196728 VSF196728 WCB196728 WLX196728 WVT196728 L262264 JH262264 TD262264 ACZ262264 AMV262264 AWR262264 BGN262264 BQJ262264 CAF262264 CKB262264 CTX262264 DDT262264 DNP262264 DXL262264 EHH262264 ERD262264 FAZ262264 FKV262264 FUR262264 GEN262264 GOJ262264 GYF262264 HIB262264 HRX262264 IBT262264 ILP262264 IVL262264 JFH262264 JPD262264 JYZ262264 KIV262264 KSR262264 LCN262264 LMJ262264 LWF262264 MGB262264 MPX262264 MZT262264 NJP262264 NTL262264 ODH262264 OND262264 OWZ262264 PGV262264 PQR262264 QAN262264 QKJ262264 QUF262264 REB262264 RNX262264 RXT262264 SHP262264 SRL262264 TBH262264 TLD262264 TUZ262264 UEV262264 UOR262264 UYN262264 VIJ262264 VSF262264 WCB262264 WLX262264 WVT262264 L327800 JH327800 TD327800 ACZ327800 AMV327800 AWR327800 BGN327800 BQJ327800 CAF327800 CKB327800 CTX327800 DDT327800 DNP327800 DXL327800 EHH327800 ERD327800 FAZ327800 FKV327800 FUR327800 GEN327800 GOJ327800 GYF327800 HIB327800 HRX327800 IBT327800 ILP327800 IVL327800 JFH327800 JPD327800 JYZ327800 KIV327800 KSR327800 LCN327800 LMJ327800 LWF327800 MGB327800 MPX327800 MZT327800 NJP327800 NTL327800 ODH327800 OND327800 OWZ327800 PGV327800 PQR327800 QAN327800 QKJ327800 QUF327800 REB327800 RNX327800 RXT327800 SHP327800 SRL327800 TBH327800 TLD327800 TUZ327800 UEV327800 UOR327800 UYN327800 VIJ327800 VSF327800 WCB327800 WLX327800 WVT327800 L393336 JH393336 TD393336 ACZ393336 AMV393336 AWR393336 BGN393336 BQJ393336 CAF393336 CKB393336 CTX393336 DDT393336 DNP393336 DXL393336 EHH393336 ERD393336 FAZ393336 FKV393336 FUR393336 GEN393336 GOJ393336 GYF393336 HIB393336 HRX393336 IBT393336 ILP393336 IVL393336 JFH393336 JPD393336 JYZ393336 KIV393336 KSR393336 LCN393336 LMJ393336 LWF393336 MGB393336 MPX393336 MZT393336 NJP393336 NTL393336 ODH393336 OND393336 OWZ393336 PGV393336 PQR393336 QAN393336 QKJ393336 QUF393336 REB393336 RNX393336 RXT393336 SHP393336 SRL393336 TBH393336 TLD393336 TUZ393336 UEV393336 UOR393336 UYN393336 VIJ393336 VSF393336 WCB393336 WLX393336 WVT393336 L458872 JH458872 TD458872 ACZ458872 AMV458872 AWR458872 BGN458872 BQJ458872 CAF458872 CKB458872 CTX458872 DDT458872 DNP458872 DXL458872 EHH458872 ERD458872 FAZ458872 FKV458872 FUR458872 GEN458872 GOJ458872 GYF458872 HIB458872 HRX458872 IBT458872 ILP458872 IVL458872 JFH458872 JPD458872 JYZ458872 KIV458872 KSR458872 LCN458872 LMJ458872 LWF458872 MGB458872 MPX458872 MZT458872 NJP458872 NTL458872 ODH458872 OND458872 OWZ458872 PGV458872 PQR458872 QAN458872 QKJ458872 QUF458872 REB458872 RNX458872 RXT458872 SHP458872 SRL458872 TBH458872 TLD458872 TUZ458872 UEV458872 UOR458872 UYN458872 VIJ458872 VSF458872 WCB458872 WLX458872 WVT458872 L524408 JH524408 TD524408 ACZ524408 AMV524408 AWR524408 BGN524408 BQJ524408 CAF524408 CKB524408 CTX524408 DDT524408 DNP524408 DXL524408 EHH524408 ERD524408 FAZ524408 FKV524408 FUR524408 GEN524408 GOJ524408 GYF524408 HIB524408 HRX524408 IBT524408 ILP524408 IVL524408 JFH524408 JPD524408 JYZ524408 KIV524408 KSR524408 LCN524408 LMJ524408 LWF524408 MGB524408 MPX524408 MZT524408 NJP524408 NTL524408 ODH524408 OND524408 OWZ524408 PGV524408 PQR524408 QAN524408 QKJ524408 QUF524408 REB524408 RNX524408 RXT524408 SHP524408 SRL524408 TBH524408 TLD524408 TUZ524408 UEV524408 UOR524408 UYN524408 VIJ524408 VSF524408 WCB524408 WLX524408 WVT524408 L589944 JH589944 TD589944 ACZ589944 AMV589944 AWR589944 BGN589944 BQJ589944 CAF589944 CKB589944 CTX589944 DDT589944 DNP589944 DXL589944 EHH589944 ERD589944 FAZ589944 FKV589944 FUR589944 GEN589944 GOJ589944 GYF589944 HIB589944 HRX589944 IBT589944 ILP589944 IVL589944 JFH589944 JPD589944 JYZ589944 KIV589944 KSR589944 LCN589944 LMJ589944 LWF589944 MGB589944 MPX589944 MZT589944 NJP589944 NTL589944 ODH589944 OND589944 OWZ589944 PGV589944 PQR589944 QAN589944 QKJ589944 QUF589944 REB589944 RNX589944 RXT589944 SHP589944 SRL589944 TBH589944 TLD589944 TUZ589944 UEV589944 UOR589944 UYN589944 VIJ589944 VSF589944 WCB589944 WLX589944 WVT589944 L655480 JH655480 TD655480 ACZ655480 AMV655480 AWR655480 BGN655480 BQJ655480 CAF655480 CKB655480 CTX655480 DDT655480 DNP655480 DXL655480 EHH655480 ERD655480 FAZ655480 FKV655480 FUR655480 GEN655480 GOJ655480 GYF655480 HIB655480 HRX655480 IBT655480 ILP655480 IVL655480 JFH655480 JPD655480 JYZ655480 KIV655480 KSR655480 LCN655480 LMJ655480 LWF655480 MGB655480 MPX655480 MZT655480 NJP655480 NTL655480 ODH655480 OND655480 OWZ655480 PGV655480 PQR655480 QAN655480 QKJ655480 QUF655480 REB655480 RNX655480 RXT655480 SHP655480 SRL655480 TBH655480 TLD655480 TUZ655480 UEV655480 UOR655480 UYN655480 VIJ655480 VSF655480 WCB655480 WLX655480 WVT655480 L721016 JH721016 TD721016 ACZ721016 AMV721016 AWR721016 BGN721016 BQJ721016 CAF721016 CKB721016 CTX721016 DDT721016 DNP721016 DXL721016 EHH721016 ERD721016 FAZ721016 FKV721016 FUR721016 GEN721016 GOJ721016 GYF721016 HIB721016 HRX721016 IBT721016 ILP721016 IVL721016 JFH721016 JPD721016 JYZ721016 KIV721016 KSR721016 LCN721016 LMJ721016 LWF721016 MGB721016 MPX721016 MZT721016 NJP721016 NTL721016 ODH721016 OND721016 OWZ721016 PGV721016 PQR721016 QAN721016 QKJ721016 QUF721016 REB721016 RNX721016 RXT721016 SHP721016 SRL721016 TBH721016 TLD721016 TUZ721016 UEV721016 UOR721016 UYN721016 VIJ721016 VSF721016 WCB721016 WLX721016 WVT721016 L786552 JH786552 TD786552 ACZ786552 AMV786552 AWR786552 BGN786552 BQJ786552 CAF786552 CKB786552 CTX786552 DDT786552 DNP786552 DXL786552 EHH786552 ERD786552 FAZ786552 FKV786552 FUR786552 GEN786552 GOJ786552 GYF786552 HIB786552 HRX786552 IBT786552 ILP786552 IVL786552 JFH786552 JPD786552 JYZ786552 KIV786552 KSR786552 LCN786552 LMJ786552 LWF786552 MGB786552 MPX786552 MZT786552 NJP786552 NTL786552 ODH786552 OND786552 OWZ786552 PGV786552 PQR786552 QAN786552 QKJ786552 QUF786552 REB786552 RNX786552 RXT786552 SHP786552 SRL786552 TBH786552 TLD786552 TUZ786552 UEV786552 UOR786552 UYN786552 VIJ786552 VSF786552 WCB786552 WLX786552 WVT786552 L852088 JH852088 TD852088 ACZ852088 AMV852088 AWR852088 BGN852088 BQJ852088 CAF852088 CKB852088 CTX852088 DDT852088 DNP852088 DXL852088 EHH852088 ERD852088 FAZ852088 FKV852088 FUR852088 GEN852088 GOJ852088 GYF852088 HIB852088 HRX852088 IBT852088 ILP852088 IVL852088 JFH852088 JPD852088 JYZ852088 KIV852088 KSR852088 LCN852088 LMJ852088 LWF852088 MGB852088 MPX852088 MZT852088 NJP852088 NTL852088 ODH852088 OND852088 OWZ852088 PGV852088 PQR852088 QAN852088 QKJ852088 QUF852088 REB852088 RNX852088 RXT852088 SHP852088 SRL852088 TBH852088 TLD852088 TUZ852088 UEV852088 UOR852088 UYN852088 VIJ852088 VSF852088 WCB852088 WLX852088 WVT852088 L917624 JH917624 TD917624 ACZ917624 AMV917624 AWR917624 BGN917624 BQJ917624 CAF917624 CKB917624 CTX917624 DDT917624 DNP917624 DXL917624 EHH917624 ERD917624 FAZ917624 FKV917624 FUR917624 GEN917624 GOJ917624 GYF917624 HIB917624 HRX917624 IBT917624 ILP917624 IVL917624 JFH917624 JPD917624 JYZ917624 KIV917624 KSR917624 LCN917624 LMJ917624 LWF917624 MGB917624 MPX917624 MZT917624 NJP917624 NTL917624 ODH917624 OND917624 OWZ917624 PGV917624 PQR917624 QAN917624 QKJ917624 QUF917624 REB917624 RNX917624 RXT917624 SHP917624 SRL917624 TBH917624 TLD917624 TUZ917624 UEV917624 UOR917624 UYN917624 VIJ917624 VSF917624 WCB917624 WLX917624 WVT917624 L983160 JH983160 TD983160 ACZ983160 AMV983160 AWR983160 BGN983160 BQJ983160 CAF983160 CKB983160 CTX983160 DDT983160 DNP983160 DXL983160 EHH983160 ERD983160 FAZ983160 FKV983160 FUR983160 GEN983160 GOJ983160 GYF983160 HIB983160 HRX983160 IBT983160 ILP983160 IVL983160 JFH983160 JPD983160 JYZ983160 KIV983160 KSR983160 LCN983160 LMJ983160 LWF983160 MGB983160 MPX983160 MZT983160 NJP983160 NTL983160 ODH983160 OND983160 OWZ983160 PGV983160 PQR983160 QAN983160 QKJ983160 QUF983160 REB983160 RNX983160 RXT983160 SHP983160 SRL983160 TBH983160 TLD983160 TUZ983160 UEV983160 UOR983160 UYN983160 VIJ983160 VSF983160 WCB983160 WLX983160 WVT983160 TBC983143 JB62:JB64 SX62:SX64 ACT62:ACT64 AMP62:AMP64 AWL62:AWL64 BGH62:BGH64 BQD62:BQD64 BZZ62:BZZ64 CJV62:CJV64 CTR62:CTR64 DDN62:DDN64 DNJ62:DNJ64 DXF62:DXF64 EHB62:EHB64 EQX62:EQX64 FAT62:FAT64 FKP62:FKP64 FUL62:FUL64 GEH62:GEH64 GOD62:GOD64 GXZ62:GXZ64 HHV62:HHV64 HRR62:HRR64 IBN62:IBN64 ILJ62:ILJ64 IVF62:IVF64 JFB62:JFB64 JOX62:JOX64 JYT62:JYT64 KIP62:KIP64 KSL62:KSL64 LCH62:LCH64 LMD62:LMD64 LVZ62:LVZ64 MFV62:MFV64 MPR62:MPR64 MZN62:MZN64 NJJ62:NJJ64 NTF62:NTF64 ODB62:ODB64 OMX62:OMX64 OWT62:OWT64 PGP62:PGP64 PQL62:PQL64 QAH62:QAH64 QKD62:QKD64 QTZ62:QTZ64 RDV62:RDV64 RNR62:RNR64 RXN62:RXN64 SHJ62:SHJ64 SRF62:SRF64 TBB62:TBB64 TKX62:TKX64 TUT62:TUT64 UEP62:UEP64 UOL62:UOL64 UYH62:UYH64 VID62:VID64 VRZ62:VRZ64 WBV62:WBV64 WLR62:WLR64 WVN62:WVN64 F65601:F65603 JB65601:JB65603 SX65601:SX65603 ACT65601:ACT65603 AMP65601:AMP65603 AWL65601:AWL65603 BGH65601:BGH65603 BQD65601:BQD65603 BZZ65601:BZZ65603 CJV65601:CJV65603 CTR65601:CTR65603 DDN65601:DDN65603 DNJ65601:DNJ65603 DXF65601:DXF65603 EHB65601:EHB65603 EQX65601:EQX65603 FAT65601:FAT65603 FKP65601:FKP65603 FUL65601:FUL65603 GEH65601:GEH65603 GOD65601:GOD65603 GXZ65601:GXZ65603 HHV65601:HHV65603 HRR65601:HRR65603 IBN65601:IBN65603 ILJ65601:ILJ65603 IVF65601:IVF65603 JFB65601:JFB65603 JOX65601:JOX65603 JYT65601:JYT65603 KIP65601:KIP65603 KSL65601:KSL65603 LCH65601:LCH65603 LMD65601:LMD65603 LVZ65601:LVZ65603 MFV65601:MFV65603 MPR65601:MPR65603 MZN65601:MZN65603 NJJ65601:NJJ65603 NTF65601:NTF65603 ODB65601:ODB65603 OMX65601:OMX65603 OWT65601:OWT65603 PGP65601:PGP65603 PQL65601:PQL65603 QAH65601:QAH65603 QKD65601:QKD65603 QTZ65601:QTZ65603 RDV65601:RDV65603 RNR65601:RNR65603 RXN65601:RXN65603 SHJ65601:SHJ65603 SRF65601:SRF65603 TBB65601:TBB65603 TKX65601:TKX65603 TUT65601:TUT65603 UEP65601:UEP65603 UOL65601:UOL65603 UYH65601:UYH65603 VID65601:VID65603 VRZ65601:VRZ65603 WBV65601:WBV65603 WLR65601:WLR65603 WVN65601:WVN65603 F131137:F131139 JB131137:JB131139 SX131137:SX131139 ACT131137:ACT131139 AMP131137:AMP131139 AWL131137:AWL131139 BGH131137:BGH131139 BQD131137:BQD131139 BZZ131137:BZZ131139 CJV131137:CJV131139 CTR131137:CTR131139 DDN131137:DDN131139 DNJ131137:DNJ131139 DXF131137:DXF131139 EHB131137:EHB131139 EQX131137:EQX131139 FAT131137:FAT131139 FKP131137:FKP131139 FUL131137:FUL131139 GEH131137:GEH131139 GOD131137:GOD131139 GXZ131137:GXZ131139 HHV131137:HHV131139 HRR131137:HRR131139 IBN131137:IBN131139 ILJ131137:ILJ131139 IVF131137:IVF131139 JFB131137:JFB131139 JOX131137:JOX131139 JYT131137:JYT131139 KIP131137:KIP131139 KSL131137:KSL131139 LCH131137:LCH131139 LMD131137:LMD131139 LVZ131137:LVZ131139 MFV131137:MFV131139 MPR131137:MPR131139 MZN131137:MZN131139 NJJ131137:NJJ131139 NTF131137:NTF131139 ODB131137:ODB131139 OMX131137:OMX131139 OWT131137:OWT131139 PGP131137:PGP131139 PQL131137:PQL131139 QAH131137:QAH131139 QKD131137:QKD131139 QTZ131137:QTZ131139 RDV131137:RDV131139 RNR131137:RNR131139 RXN131137:RXN131139 SHJ131137:SHJ131139 SRF131137:SRF131139 TBB131137:TBB131139 TKX131137:TKX131139 TUT131137:TUT131139 UEP131137:UEP131139 UOL131137:UOL131139 UYH131137:UYH131139 VID131137:VID131139 VRZ131137:VRZ131139 WBV131137:WBV131139 WLR131137:WLR131139 WVN131137:WVN131139 F196673:F196675 JB196673:JB196675 SX196673:SX196675 ACT196673:ACT196675 AMP196673:AMP196675 AWL196673:AWL196675 BGH196673:BGH196675 BQD196673:BQD196675 BZZ196673:BZZ196675 CJV196673:CJV196675 CTR196673:CTR196675 DDN196673:DDN196675 DNJ196673:DNJ196675 DXF196673:DXF196675 EHB196673:EHB196675 EQX196673:EQX196675 FAT196673:FAT196675 FKP196673:FKP196675 FUL196673:FUL196675 GEH196673:GEH196675 GOD196673:GOD196675 GXZ196673:GXZ196675 HHV196673:HHV196675 HRR196673:HRR196675 IBN196673:IBN196675 ILJ196673:ILJ196675 IVF196673:IVF196675 JFB196673:JFB196675 JOX196673:JOX196675 JYT196673:JYT196675 KIP196673:KIP196675 KSL196673:KSL196675 LCH196673:LCH196675 LMD196673:LMD196675 LVZ196673:LVZ196675 MFV196673:MFV196675 MPR196673:MPR196675 MZN196673:MZN196675 NJJ196673:NJJ196675 NTF196673:NTF196675 ODB196673:ODB196675 OMX196673:OMX196675 OWT196673:OWT196675 PGP196673:PGP196675 PQL196673:PQL196675 QAH196673:QAH196675 QKD196673:QKD196675 QTZ196673:QTZ196675 RDV196673:RDV196675 RNR196673:RNR196675 RXN196673:RXN196675 SHJ196673:SHJ196675 SRF196673:SRF196675 TBB196673:TBB196675 TKX196673:TKX196675 TUT196673:TUT196675 UEP196673:UEP196675 UOL196673:UOL196675 UYH196673:UYH196675 VID196673:VID196675 VRZ196673:VRZ196675 WBV196673:WBV196675 WLR196673:WLR196675 WVN196673:WVN196675 F262209:F262211 JB262209:JB262211 SX262209:SX262211 ACT262209:ACT262211 AMP262209:AMP262211 AWL262209:AWL262211 BGH262209:BGH262211 BQD262209:BQD262211 BZZ262209:BZZ262211 CJV262209:CJV262211 CTR262209:CTR262211 DDN262209:DDN262211 DNJ262209:DNJ262211 DXF262209:DXF262211 EHB262209:EHB262211 EQX262209:EQX262211 FAT262209:FAT262211 FKP262209:FKP262211 FUL262209:FUL262211 GEH262209:GEH262211 GOD262209:GOD262211 GXZ262209:GXZ262211 HHV262209:HHV262211 HRR262209:HRR262211 IBN262209:IBN262211 ILJ262209:ILJ262211 IVF262209:IVF262211 JFB262209:JFB262211 JOX262209:JOX262211 JYT262209:JYT262211 KIP262209:KIP262211 KSL262209:KSL262211 LCH262209:LCH262211 LMD262209:LMD262211 LVZ262209:LVZ262211 MFV262209:MFV262211 MPR262209:MPR262211 MZN262209:MZN262211 NJJ262209:NJJ262211 NTF262209:NTF262211 ODB262209:ODB262211 OMX262209:OMX262211 OWT262209:OWT262211 PGP262209:PGP262211 PQL262209:PQL262211 QAH262209:QAH262211 QKD262209:QKD262211 QTZ262209:QTZ262211 RDV262209:RDV262211 RNR262209:RNR262211 RXN262209:RXN262211 SHJ262209:SHJ262211 SRF262209:SRF262211 TBB262209:TBB262211 TKX262209:TKX262211 TUT262209:TUT262211 UEP262209:UEP262211 UOL262209:UOL262211 UYH262209:UYH262211 VID262209:VID262211 VRZ262209:VRZ262211 WBV262209:WBV262211 WLR262209:WLR262211 WVN262209:WVN262211 F327745:F327747 JB327745:JB327747 SX327745:SX327747 ACT327745:ACT327747 AMP327745:AMP327747 AWL327745:AWL327747 BGH327745:BGH327747 BQD327745:BQD327747 BZZ327745:BZZ327747 CJV327745:CJV327747 CTR327745:CTR327747 DDN327745:DDN327747 DNJ327745:DNJ327747 DXF327745:DXF327747 EHB327745:EHB327747 EQX327745:EQX327747 FAT327745:FAT327747 FKP327745:FKP327747 FUL327745:FUL327747 GEH327745:GEH327747 GOD327745:GOD327747 GXZ327745:GXZ327747 HHV327745:HHV327747 HRR327745:HRR327747 IBN327745:IBN327747 ILJ327745:ILJ327747 IVF327745:IVF327747 JFB327745:JFB327747 JOX327745:JOX327747 JYT327745:JYT327747 KIP327745:KIP327747 KSL327745:KSL327747 LCH327745:LCH327747 LMD327745:LMD327747 LVZ327745:LVZ327747 MFV327745:MFV327747 MPR327745:MPR327747 MZN327745:MZN327747 NJJ327745:NJJ327747 NTF327745:NTF327747 ODB327745:ODB327747 OMX327745:OMX327747 OWT327745:OWT327747 PGP327745:PGP327747 PQL327745:PQL327747 QAH327745:QAH327747 QKD327745:QKD327747 QTZ327745:QTZ327747 RDV327745:RDV327747 RNR327745:RNR327747 RXN327745:RXN327747 SHJ327745:SHJ327747 SRF327745:SRF327747 TBB327745:TBB327747 TKX327745:TKX327747 TUT327745:TUT327747 UEP327745:UEP327747 UOL327745:UOL327747 UYH327745:UYH327747 VID327745:VID327747 VRZ327745:VRZ327747 WBV327745:WBV327747 WLR327745:WLR327747 WVN327745:WVN327747 F393281:F393283 JB393281:JB393283 SX393281:SX393283 ACT393281:ACT393283 AMP393281:AMP393283 AWL393281:AWL393283 BGH393281:BGH393283 BQD393281:BQD393283 BZZ393281:BZZ393283 CJV393281:CJV393283 CTR393281:CTR393283 DDN393281:DDN393283 DNJ393281:DNJ393283 DXF393281:DXF393283 EHB393281:EHB393283 EQX393281:EQX393283 FAT393281:FAT393283 FKP393281:FKP393283 FUL393281:FUL393283 GEH393281:GEH393283 GOD393281:GOD393283 GXZ393281:GXZ393283 HHV393281:HHV393283 HRR393281:HRR393283 IBN393281:IBN393283 ILJ393281:ILJ393283 IVF393281:IVF393283 JFB393281:JFB393283 JOX393281:JOX393283 JYT393281:JYT393283 KIP393281:KIP393283 KSL393281:KSL393283 LCH393281:LCH393283 LMD393281:LMD393283 LVZ393281:LVZ393283 MFV393281:MFV393283 MPR393281:MPR393283 MZN393281:MZN393283 NJJ393281:NJJ393283 NTF393281:NTF393283 ODB393281:ODB393283 OMX393281:OMX393283 OWT393281:OWT393283 PGP393281:PGP393283 PQL393281:PQL393283 QAH393281:QAH393283 QKD393281:QKD393283 QTZ393281:QTZ393283 RDV393281:RDV393283 RNR393281:RNR393283 RXN393281:RXN393283 SHJ393281:SHJ393283 SRF393281:SRF393283 TBB393281:TBB393283 TKX393281:TKX393283 TUT393281:TUT393283 UEP393281:UEP393283 UOL393281:UOL393283 UYH393281:UYH393283 VID393281:VID393283 VRZ393281:VRZ393283 WBV393281:WBV393283 WLR393281:WLR393283 WVN393281:WVN393283 F458817:F458819 JB458817:JB458819 SX458817:SX458819 ACT458817:ACT458819 AMP458817:AMP458819 AWL458817:AWL458819 BGH458817:BGH458819 BQD458817:BQD458819 BZZ458817:BZZ458819 CJV458817:CJV458819 CTR458817:CTR458819 DDN458817:DDN458819 DNJ458817:DNJ458819 DXF458817:DXF458819 EHB458817:EHB458819 EQX458817:EQX458819 FAT458817:FAT458819 FKP458817:FKP458819 FUL458817:FUL458819 GEH458817:GEH458819 GOD458817:GOD458819 GXZ458817:GXZ458819 HHV458817:HHV458819 HRR458817:HRR458819 IBN458817:IBN458819 ILJ458817:ILJ458819 IVF458817:IVF458819 JFB458817:JFB458819 JOX458817:JOX458819 JYT458817:JYT458819 KIP458817:KIP458819 KSL458817:KSL458819 LCH458817:LCH458819 LMD458817:LMD458819 LVZ458817:LVZ458819 MFV458817:MFV458819 MPR458817:MPR458819 MZN458817:MZN458819 NJJ458817:NJJ458819 NTF458817:NTF458819 ODB458817:ODB458819 OMX458817:OMX458819 OWT458817:OWT458819 PGP458817:PGP458819 PQL458817:PQL458819 QAH458817:QAH458819 QKD458817:QKD458819 QTZ458817:QTZ458819 RDV458817:RDV458819 RNR458817:RNR458819 RXN458817:RXN458819 SHJ458817:SHJ458819 SRF458817:SRF458819 TBB458817:TBB458819 TKX458817:TKX458819 TUT458817:TUT458819 UEP458817:UEP458819 UOL458817:UOL458819 UYH458817:UYH458819 VID458817:VID458819 VRZ458817:VRZ458819 WBV458817:WBV458819 WLR458817:WLR458819 WVN458817:WVN458819 F524353:F524355 JB524353:JB524355 SX524353:SX524355 ACT524353:ACT524355 AMP524353:AMP524355 AWL524353:AWL524355 BGH524353:BGH524355 BQD524353:BQD524355 BZZ524353:BZZ524355 CJV524353:CJV524355 CTR524353:CTR524355 DDN524353:DDN524355 DNJ524353:DNJ524355 DXF524353:DXF524355 EHB524353:EHB524355 EQX524353:EQX524355 FAT524353:FAT524355 FKP524353:FKP524355 FUL524353:FUL524355 GEH524353:GEH524355 GOD524353:GOD524355 GXZ524353:GXZ524355 HHV524353:HHV524355 HRR524353:HRR524355 IBN524353:IBN524355 ILJ524353:ILJ524355 IVF524353:IVF524355 JFB524353:JFB524355 JOX524353:JOX524355 JYT524353:JYT524355 KIP524353:KIP524355 KSL524353:KSL524355 LCH524353:LCH524355 LMD524353:LMD524355 LVZ524353:LVZ524355 MFV524353:MFV524355 MPR524353:MPR524355 MZN524353:MZN524355 NJJ524353:NJJ524355 NTF524353:NTF524355 ODB524353:ODB524355 OMX524353:OMX524355 OWT524353:OWT524355 PGP524353:PGP524355 PQL524353:PQL524355 QAH524353:QAH524355 QKD524353:QKD524355 QTZ524353:QTZ524355 RDV524353:RDV524355 RNR524353:RNR524355 RXN524353:RXN524355 SHJ524353:SHJ524355 SRF524353:SRF524355 TBB524353:TBB524355 TKX524353:TKX524355 TUT524353:TUT524355 UEP524353:UEP524355 UOL524353:UOL524355 UYH524353:UYH524355 VID524353:VID524355 VRZ524353:VRZ524355 WBV524353:WBV524355 WLR524353:WLR524355 WVN524353:WVN524355 F589889:F589891 JB589889:JB589891 SX589889:SX589891 ACT589889:ACT589891 AMP589889:AMP589891 AWL589889:AWL589891 BGH589889:BGH589891 BQD589889:BQD589891 BZZ589889:BZZ589891 CJV589889:CJV589891 CTR589889:CTR589891 DDN589889:DDN589891 DNJ589889:DNJ589891 DXF589889:DXF589891 EHB589889:EHB589891 EQX589889:EQX589891 FAT589889:FAT589891 FKP589889:FKP589891 FUL589889:FUL589891 GEH589889:GEH589891 GOD589889:GOD589891 GXZ589889:GXZ589891 HHV589889:HHV589891 HRR589889:HRR589891 IBN589889:IBN589891 ILJ589889:ILJ589891 IVF589889:IVF589891 JFB589889:JFB589891 JOX589889:JOX589891 JYT589889:JYT589891 KIP589889:KIP589891 KSL589889:KSL589891 LCH589889:LCH589891 LMD589889:LMD589891 LVZ589889:LVZ589891 MFV589889:MFV589891 MPR589889:MPR589891 MZN589889:MZN589891 NJJ589889:NJJ589891 NTF589889:NTF589891 ODB589889:ODB589891 OMX589889:OMX589891 OWT589889:OWT589891 PGP589889:PGP589891 PQL589889:PQL589891 QAH589889:QAH589891 QKD589889:QKD589891 QTZ589889:QTZ589891 RDV589889:RDV589891 RNR589889:RNR589891 RXN589889:RXN589891 SHJ589889:SHJ589891 SRF589889:SRF589891 TBB589889:TBB589891 TKX589889:TKX589891 TUT589889:TUT589891 UEP589889:UEP589891 UOL589889:UOL589891 UYH589889:UYH589891 VID589889:VID589891 VRZ589889:VRZ589891 WBV589889:WBV589891 WLR589889:WLR589891 WVN589889:WVN589891 F655425:F655427 JB655425:JB655427 SX655425:SX655427 ACT655425:ACT655427 AMP655425:AMP655427 AWL655425:AWL655427 BGH655425:BGH655427 BQD655425:BQD655427 BZZ655425:BZZ655427 CJV655425:CJV655427 CTR655425:CTR655427 DDN655425:DDN655427 DNJ655425:DNJ655427 DXF655425:DXF655427 EHB655425:EHB655427 EQX655425:EQX655427 FAT655425:FAT655427 FKP655425:FKP655427 FUL655425:FUL655427 GEH655425:GEH655427 GOD655425:GOD655427 GXZ655425:GXZ655427 HHV655425:HHV655427 HRR655425:HRR655427 IBN655425:IBN655427 ILJ655425:ILJ655427 IVF655425:IVF655427 JFB655425:JFB655427 JOX655425:JOX655427 JYT655425:JYT655427 KIP655425:KIP655427 KSL655425:KSL655427 LCH655425:LCH655427 LMD655425:LMD655427 LVZ655425:LVZ655427 MFV655425:MFV655427 MPR655425:MPR655427 MZN655425:MZN655427 NJJ655425:NJJ655427 NTF655425:NTF655427 ODB655425:ODB655427 OMX655425:OMX655427 OWT655425:OWT655427 PGP655425:PGP655427 PQL655425:PQL655427 QAH655425:QAH655427 QKD655425:QKD655427 QTZ655425:QTZ655427 RDV655425:RDV655427 RNR655425:RNR655427 RXN655425:RXN655427 SHJ655425:SHJ655427 SRF655425:SRF655427 TBB655425:TBB655427 TKX655425:TKX655427 TUT655425:TUT655427 UEP655425:UEP655427 UOL655425:UOL655427 UYH655425:UYH655427 VID655425:VID655427 VRZ655425:VRZ655427 WBV655425:WBV655427 WLR655425:WLR655427 WVN655425:WVN655427 F720961:F720963 JB720961:JB720963 SX720961:SX720963 ACT720961:ACT720963 AMP720961:AMP720963 AWL720961:AWL720963 BGH720961:BGH720963 BQD720961:BQD720963 BZZ720961:BZZ720963 CJV720961:CJV720963 CTR720961:CTR720963 DDN720961:DDN720963 DNJ720961:DNJ720963 DXF720961:DXF720963 EHB720961:EHB720963 EQX720961:EQX720963 FAT720961:FAT720963 FKP720961:FKP720963 FUL720961:FUL720963 GEH720961:GEH720963 GOD720961:GOD720963 GXZ720961:GXZ720963 HHV720961:HHV720963 HRR720961:HRR720963 IBN720961:IBN720963 ILJ720961:ILJ720963 IVF720961:IVF720963 JFB720961:JFB720963 JOX720961:JOX720963 JYT720961:JYT720963 KIP720961:KIP720963 KSL720961:KSL720963 LCH720961:LCH720963 LMD720961:LMD720963 LVZ720961:LVZ720963 MFV720961:MFV720963 MPR720961:MPR720963 MZN720961:MZN720963 NJJ720961:NJJ720963 NTF720961:NTF720963 ODB720961:ODB720963 OMX720961:OMX720963 OWT720961:OWT720963 PGP720961:PGP720963 PQL720961:PQL720963 QAH720961:QAH720963 QKD720961:QKD720963 QTZ720961:QTZ720963 RDV720961:RDV720963 RNR720961:RNR720963 RXN720961:RXN720963 SHJ720961:SHJ720963 SRF720961:SRF720963 TBB720961:TBB720963 TKX720961:TKX720963 TUT720961:TUT720963 UEP720961:UEP720963 UOL720961:UOL720963 UYH720961:UYH720963 VID720961:VID720963 VRZ720961:VRZ720963 WBV720961:WBV720963 WLR720961:WLR720963 WVN720961:WVN720963 F786497:F786499 JB786497:JB786499 SX786497:SX786499 ACT786497:ACT786499 AMP786497:AMP786499 AWL786497:AWL786499 BGH786497:BGH786499 BQD786497:BQD786499 BZZ786497:BZZ786499 CJV786497:CJV786499 CTR786497:CTR786499 DDN786497:DDN786499 DNJ786497:DNJ786499 DXF786497:DXF786499 EHB786497:EHB786499 EQX786497:EQX786499 FAT786497:FAT786499 FKP786497:FKP786499 FUL786497:FUL786499 GEH786497:GEH786499 GOD786497:GOD786499 GXZ786497:GXZ786499 HHV786497:HHV786499 HRR786497:HRR786499 IBN786497:IBN786499 ILJ786497:ILJ786499 IVF786497:IVF786499 JFB786497:JFB786499 JOX786497:JOX786499 JYT786497:JYT786499 KIP786497:KIP786499 KSL786497:KSL786499 LCH786497:LCH786499 LMD786497:LMD786499 LVZ786497:LVZ786499 MFV786497:MFV786499 MPR786497:MPR786499 MZN786497:MZN786499 NJJ786497:NJJ786499 NTF786497:NTF786499 ODB786497:ODB786499 OMX786497:OMX786499 OWT786497:OWT786499 PGP786497:PGP786499 PQL786497:PQL786499 QAH786497:QAH786499 QKD786497:QKD786499 QTZ786497:QTZ786499 RDV786497:RDV786499 RNR786497:RNR786499 RXN786497:RXN786499 SHJ786497:SHJ786499 SRF786497:SRF786499 TBB786497:TBB786499 TKX786497:TKX786499 TUT786497:TUT786499 UEP786497:UEP786499 UOL786497:UOL786499 UYH786497:UYH786499 VID786497:VID786499 VRZ786497:VRZ786499 WBV786497:WBV786499 WLR786497:WLR786499 WVN786497:WVN786499 F852033:F852035 JB852033:JB852035 SX852033:SX852035 ACT852033:ACT852035 AMP852033:AMP852035 AWL852033:AWL852035 BGH852033:BGH852035 BQD852033:BQD852035 BZZ852033:BZZ852035 CJV852033:CJV852035 CTR852033:CTR852035 DDN852033:DDN852035 DNJ852033:DNJ852035 DXF852033:DXF852035 EHB852033:EHB852035 EQX852033:EQX852035 FAT852033:FAT852035 FKP852033:FKP852035 FUL852033:FUL852035 GEH852033:GEH852035 GOD852033:GOD852035 GXZ852033:GXZ852035 HHV852033:HHV852035 HRR852033:HRR852035 IBN852033:IBN852035 ILJ852033:ILJ852035 IVF852033:IVF852035 JFB852033:JFB852035 JOX852033:JOX852035 JYT852033:JYT852035 KIP852033:KIP852035 KSL852033:KSL852035 LCH852033:LCH852035 LMD852033:LMD852035 LVZ852033:LVZ852035 MFV852033:MFV852035 MPR852033:MPR852035 MZN852033:MZN852035 NJJ852033:NJJ852035 NTF852033:NTF852035 ODB852033:ODB852035 OMX852033:OMX852035 OWT852033:OWT852035 PGP852033:PGP852035 PQL852033:PQL852035 QAH852033:QAH852035 QKD852033:QKD852035 QTZ852033:QTZ852035 RDV852033:RDV852035 RNR852033:RNR852035 RXN852033:RXN852035 SHJ852033:SHJ852035 SRF852033:SRF852035 TBB852033:TBB852035 TKX852033:TKX852035 TUT852033:TUT852035 UEP852033:UEP852035 UOL852033:UOL852035 UYH852033:UYH852035 VID852033:VID852035 VRZ852033:VRZ852035 WBV852033:WBV852035 WLR852033:WLR852035 WVN852033:WVN852035 F917569:F917571 JB917569:JB917571 SX917569:SX917571 ACT917569:ACT917571 AMP917569:AMP917571 AWL917569:AWL917571 BGH917569:BGH917571 BQD917569:BQD917571 BZZ917569:BZZ917571 CJV917569:CJV917571 CTR917569:CTR917571 DDN917569:DDN917571 DNJ917569:DNJ917571 DXF917569:DXF917571 EHB917569:EHB917571 EQX917569:EQX917571 FAT917569:FAT917571 FKP917569:FKP917571 FUL917569:FUL917571 GEH917569:GEH917571 GOD917569:GOD917571 GXZ917569:GXZ917571 HHV917569:HHV917571 HRR917569:HRR917571 IBN917569:IBN917571 ILJ917569:ILJ917571 IVF917569:IVF917571 JFB917569:JFB917571 JOX917569:JOX917571 JYT917569:JYT917571 KIP917569:KIP917571 KSL917569:KSL917571 LCH917569:LCH917571 LMD917569:LMD917571 LVZ917569:LVZ917571 MFV917569:MFV917571 MPR917569:MPR917571 MZN917569:MZN917571 NJJ917569:NJJ917571 NTF917569:NTF917571 ODB917569:ODB917571 OMX917569:OMX917571 OWT917569:OWT917571 PGP917569:PGP917571 PQL917569:PQL917571 QAH917569:QAH917571 QKD917569:QKD917571 QTZ917569:QTZ917571 RDV917569:RDV917571 RNR917569:RNR917571 RXN917569:RXN917571 SHJ917569:SHJ917571 SRF917569:SRF917571 TBB917569:TBB917571 TKX917569:TKX917571 TUT917569:TUT917571 UEP917569:UEP917571 UOL917569:UOL917571 UYH917569:UYH917571 VID917569:VID917571 VRZ917569:VRZ917571 WBV917569:WBV917571 WLR917569:WLR917571 WVN917569:WVN917571 F983105:F983107 JB983105:JB983107 SX983105:SX983107 ACT983105:ACT983107 AMP983105:AMP983107 AWL983105:AWL983107 BGH983105:BGH983107 BQD983105:BQD983107 BZZ983105:BZZ983107 CJV983105:CJV983107 CTR983105:CTR983107 DDN983105:DDN983107 DNJ983105:DNJ983107 DXF983105:DXF983107 EHB983105:EHB983107 EQX983105:EQX983107 FAT983105:FAT983107 FKP983105:FKP983107 FUL983105:FUL983107 GEH983105:GEH983107 GOD983105:GOD983107 GXZ983105:GXZ983107 HHV983105:HHV983107 HRR983105:HRR983107 IBN983105:IBN983107 ILJ983105:ILJ983107 IVF983105:IVF983107 JFB983105:JFB983107 JOX983105:JOX983107 JYT983105:JYT983107 KIP983105:KIP983107 KSL983105:KSL983107 LCH983105:LCH983107 LMD983105:LMD983107 LVZ983105:LVZ983107 MFV983105:MFV983107 MPR983105:MPR983107 MZN983105:MZN983107 NJJ983105:NJJ983107 NTF983105:NTF983107 ODB983105:ODB983107 OMX983105:OMX983107 OWT983105:OWT983107 PGP983105:PGP983107 PQL983105:PQL983107 QAH983105:QAH983107 QKD983105:QKD983107 QTZ983105:QTZ983107 RDV983105:RDV983107 RNR983105:RNR983107 RXN983105:RXN983107 SHJ983105:SHJ983107 SRF983105:SRF983107 TBB983105:TBB983107 TKX983105:TKX983107 TUT983105:TUT983107 UEP983105:UEP983107 UOL983105:UOL983107 UYH983105:UYH983107 VID983105:VID983107 VRZ983105:VRZ983107 WBV983105:WBV983107 WLR983105:WLR983107 WVN983105:WVN983107 DXO71:DXO77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M65635 JI65635 TE65635 ADA65635 AMW65635 AWS65635 BGO65635 BQK65635 CAG65635 CKC65635 CTY65635 DDU65635 DNQ65635 DXM65635 EHI65635 ERE65635 FBA65635 FKW65635 FUS65635 GEO65635 GOK65635 GYG65635 HIC65635 HRY65635 IBU65635 ILQ65635 IVM65635 JFI65635 JPE65635 JZA65635 KIW65635 KSS65635 LCO65635 LMK65635 LWG65635 MGC65635 MPY65635 MZU65635 NJQ65635 NTM65635 ODI65635 ONE65635 OXA65635 PGW65635 PQS65635 QAO65635 QKK65635 QUG65635 REC65635 RNY65635 RXU65635 SHQ65635 SRM65635 TBI65635 TLE65635 TVA65635 UEW65635 UOS65635 UYO65635 VIK65635 VSG65635 WCC65635 WLY65635 WVU65635 M131171 JI131171 TE131171 ADA131171 AMW131171 AWS131171 BGO131171 BQK131171 CAG131171 CKC131171 CTY131171 DDU131171 DNQ131171 DXM131171 EHI131171 ERE131171 FBA131171 FKW131171 FUS131171 GEO131171 GOK131171 GYG131171 HIC131171 HRY131171 IBU131171 ILQ131171 IVM131171 JFI131171 JPE131171 JZA131171 KIW131171 KSS131171 LCO131171 LMK131171 LWG131171 MGC131171 MPY131171 MZU131171 NJQ131171 NTM131171 ODI131171 ONE131171 OXA131171 PGW131171 PQS131171 QAO131171 QKK131171 QUG131171 REC131171 RNY131171 RXU131171 SHQ131171 SRM131171 TBI131171 TLE131171 TVA131171 UEW131171 UOS131171 UYO131171 VIK131171 VSG131171 WCC131171 WLY131171 WVU131171 M196707 JI196707 TE196707 ADA196707 AMW196707 AWS196707 BGO196707 BQK196707 CAG196707 CKC196707 CTY196707 DDU196707 DNQ196707 DXM196707 EHI196707 ERE196707 FBA196707 FKW196707 FUS196707 GEO196707 GOK196707 GYG196707 HIC196707 HRY196707 IBU196707 ILQ196707 IVM196707 JFI196707 JPE196707 JZA196707 KIW196707 KSS196707 LCO196707 LMK196707 LWG196707 MGC196707 MPY196707 MZU196707 NJQ196707 NTM196707 ODI196707 ONE196707 OXA196707 PGW196707 PQS196707 QAO196707 QKK196707 QUG196707 REC196707 RNY196707 RXU196707 SHQ196707 SRM196707 TBI196707 TLE196707 TVA196707 UEW196707 UOS196707 UYO196707 VIK196707 VSG196707 WCC196707 WLY196707 WVU196707 M262243 JI262243 TE262243 ADA262243 AMW262243 AWS262243 BGO262243 BQK262243 CAG262243 CKC262243 CTY262243 DDU262243 DNQ262243 DXM262243 EHI262243 ERE262243 FBA262243 FKW262243 FUS262243 GEO262243 GOK262243 GYG262243 HIC262243 HRY262243 IBU262243 ILQ262243 IVM262243 JFI262243 JPE262243 JZA262243 KIW262243 KSS262243 LCO262243 LMK262243 LWG262243 MGC262243 MPY262243 MZU262243 NJQ262243 NTM262243 ODI262243 ONE262243 OXA262243 PGW262243 PQS262243 QAO262243 QKK262243 QUG262243 REC262243 RNY262243 RXU262243 SHQ262243 SRM262243 TBI262243 TLE262243 TVA262243 UEW262243 UOS262243 UYO262243 VIK262243 VSG262243 WCC262243 WLY262243 WVU262243 M327779 JI327779 TE327779 ADA327779 AMW327779 AWS327779 BGO327779 BQK327779 CAG327779 CKC327779 CTY327779 DDU327779 DNQ327779 DXM327779 EHI327779 ERE327779 FBA327779 FKW327779 FUS327779 GEO327779 GOK327779 GYG327779 HIC327779 HRY327779 IBU327779 ILQ327779 IVM327779 JFI327779 JPE327779 JZA327779 KIW327779 KSS327779 LCO327779 LMK327779 LWG327779 MGC327779 MPY327779 MZU327779 NJQ327779 NTM327779 ODI327779 ONE327779 OXA327779 PGW327779 PQS327779 QAO327779 QKK327779 QUG327779 REC327779 RNY327779 RXU327779 SHQ327779 SRM327779 TBI327779 TLE327779 TVA327779 UEW327779 UOS327779 UYO327779 VIK327779 VSG327779 WCC327779 WLY327779 WVU327779 M393315 JI393315 TE393315 ADA393315 AMW393315 AWS393315 BGO393315 BQK393315 CAG393315 CKC393315 CTY393315 DDU393315 DNQ393315 DXM393315 EHI393315 ERE393315 FBA393315 FKW393315 FUS393315 GEO393315 GOK393315 GYG393315 HIC393315 HRY393315 IBU393315 ILQ393315 IVM393315 JFI393315 JPE393315 JZA393315 KIW393315 KSS393315 LCO393315 LMK393315 LWG393315 MGC393315 MPY393315 MZU393315 NJQ393315 NTM393315 ODI393315 ONE393315 OXA393315 PGW393315 PQS393315 QAO393315 QKK393315 QUG393315 REC393315 RNY393315 RXU393315 SHQ393315 SRM393315 TBI393315 TLE393315 TVA393315 UEW393315 UOS393315 UYO393315 VIK393315 VSG393315 WCC393315 WLY393315 WVU393315 M458851 JI458851 TE458851 ADA458851 AMW458851 AWS458851 BGO458851 BQK458851 CAG458851 CKC458851 CTY458851 DDU458851 DNQ458851 DXM458851 EHI458851 ERE458851 FBA458851 FKW458851 FUS458851 GEO458851 GOK458851 GYG458851 HIC458851 HRY458851 IBU458851 ILQ458851 IVM458851 JFI458851 JPE458851 JZA458851 KIW458851 KSS458851 LCO458851 LMK458851 LWG458851 MGC458851 MPY458851 MZU458851 NJQ458851 NTM458851 ODI458851 ONE458851 OXA458851 PGW458851 PQS458851 QAO458851 QKK458851 QUG458851 REC458851 RNY458851 RXU458851 SHQ458851 SRM458851 TBI458851 TLE458851 TVA458851 UEW458851 UOS458851 UYO458851 VIK458851 VSG458851 WCC458851 WLY458851 WVU458851 M524387 JI524387 TE524387 ADA524387 AMW524387 AWS524387 BGO524387 BQK524387 CAG524387 CKC524387 CTY524387 DDU524387 DNQ524387 DXM524387 EHI524387 ERE524387 FBA524387 FKW524387 FUS524387 GEO524387 GOK524387 GYG524387 HIC524387 HRY524387 IBU524387 ILQ524387 IVM524387 JFI524387 JPE524387 JZA524387 KIW524387 KSS524387 LCO524387 LMK524387 LWG524387 MGC524387 MPY524387 MZU524387 NJQ524387 NTM524387 ODI524387 ONE524387 OXA524387 PGW524387 PQS524387 QAO524387 QKK524387 QUG524387 REC524387 RNY524387 RXU524387 SHQ524387 SRM524387 TBI524387 TLE524387 TVA524387 UEW524387 UOS524387 UYO524387 VIK524387 VSG524387 WCC524387 WLY524387 WVU524387 M589923 JI589923 TE589923 ADA589923 AMW589923 AWS589923 BGO589923 BQK589923 CAG589923 CKC589923 CTY589923 DDU589923 DNQ589923 DXM589923 EHI589923 ERE589923 FBA589923 FKW589923 FUS589923 GEO589923 GOK589923 GYG589923 HIC589923 HRY589923 IBU589923 ILQ589923 IVM589923 JFI589923 JPE589923 JZA589923 KIW589923 KSS589923 LCO589923 LMK589923 LWG589923 MGC589923 MPY589923 MZU589923 NJQ589923 NTM589923 ODI589923 ONE589923 OXA589923 PGW589923 PQS589923 QAO589923 QKK589923 QUG589923 REC589923 RNY589923 RXU589923 SHQ589923 SRM589923 TBI589923 TLE589923 TVA589923 UEW589923 UOS589923 UYO589923 VIK589923 VSG589923 WCC589923 WLY589923 WVU589923 M655459 JI655459 TE655459 ADA655459 AMW655459 AWS655459 BGO655459 BQK655459 CAG655459 CKC655459 CTY655459 DDU655459 DNQ655459 DXM655459 EHI655459 ERE655459 FBA655459 FKW655459 FUS655459 GEO655459 GOK655459 GYG655459 HIC655459 HRY655459 IBU655459 ILQ655459 IVM655459 JFI655459 JPE655459 JZA655459 KIW655459 KSS655459 LCO655459 LMK655459 LWG655459 MGC655459 MPY655459 MZU655459 NJQ655459 NTM655459 ODI655459 ONE655459 OXA655459 PGW655459 PQS655459 QAO655459 QKK655459 QUG655459 REC655459 RNY655459 RXU655459 SHQ655459 SRM655459 TBI655459 TLE655459 TVA655459 UEW655459 UOS655459 UYO655459 VIK655459 VSG655459 WCC655459 WLY655459 WVU655459 M720995 JI720995 TE720995 ADA720995 AMW720995 AWS720995 BGO720995 BQK720995 CAG720995 CKC720995 CTY720995 DDU720995 DNQ720995 DXM720995 EHI720995 ERE720995 FBA720995 FKW720995 FUS720995 GEO720995 GOK720995 GYG720995 HIC720995 HRY720995 IBU720995 ILQ720995 IVM720995 JFI720995 JPE720995 JZA720995 KIW720995 KSS720995 LCO720995 LMK720995 LWG720995 MGC720995 MPY720995 MZU720995 NJQ720995 NTM720995 ODI720995 ONE720995 OXA720995 PGW720995 PQS720995 QAO720995 QKK720995 QUG720995 REC720995 RNY720995 RXU720995 SHQ720995 SRM720995 TBI720995 TLE720995 TVA720995 UEW720995 UOS720995 UYO720995 VIK720995 VSG720995 WCC720995 WLY720995 WVU720995 M786531 JI786531 TE786531 ADA786531 AMW786531 AWS786531 BGO786531 BQK786531 CAG786531 CKC786531 CTY786531 DDU786531 DNQ786531 DXM786531 EHI786531 ERE786531 FBA786531 FKW786531 FUS786531 GEO786531 GOK786531 GYG786531 HIC786531 HRY786531 IBU786531 ILQ786531 IVM786531 JFI786531 JPE786531 JZA786531 KIW786531 KSS786531 LCO786531 LMK786531 LWG786531 MGC786531 MPY786531 MZU786531 NJQ786531 NTM786531 ODI786531 ONE786531 OXA786531 PGW786531 PQS786531 QAO786531 QKK786531 QUG786531 REC786531 RNY786531 RXU786531 SHQ786531 SRM786531 TBI786531 TLE786531 TVA786531 UEW786531 UOS786531 UYO786531 VIK786531 VSG786531 WCC786531 WLY786531 WVU786531 M852067 JI852067 TE852067 ADA852067 AMW852067 AWS852067 BGO852067 BQK852067 CAG852067 CKC852067 CTY852067 DDU852067 DNQ852067 DXM852067 EHI852067 ERE852067 FBA852067 FKW852067 FUS852067 GEO852067 GOK852067 GYG852067 HIC852067 HRY852067 IBU852067 ILQ852067 IVM852067 JFI852067 JPE852067 JZA852067 KIW852067 KSS852067 LCO852067 LMK852067 LWG852067 MGC852067 MPY852067 MZU852067 NJQ852067 NTM852067 ODI852067 ONE852067 OXA852067 PGW852067 PQS852067 QAO852067 QKK852067 QUG852067 REC852067 RNY852067 RXU852067 SHQ852067 SRM852067 TBI852067 TLE852067 TVA852067 UEW852067 UOS852067 UYO852067 VIK852067 VSG852067 WCC852067 WLY852067 WVU852067 M917603 JI917603 TE917603 ADA917603 AMW917603 AWS917603 BGO917603 BQK917603 CAG917603 CKC917603 CTY917603 DDU917603 DNQ917603 DXM917603 EHI917603 ERE917603 FBA917603 FKW917603 FUS917603 GEO917603 GOK917603 GYG917603 HIC917603 HRY917603 IBU917603 ILQ917603 IVM917603 JFI917603 JPE917603 JZA917603 KIW917603 KSS917603 LCO917603 LMK917603 LWG917603 MGC917603 MPY917603 MZU917603 NJQ917603 NTM917603 ODI917603 ONE917603 OXA917603 PGW917603 PQS917603 QAO917603 QKK917603 QUG917603 REC917603 RNY917603 RXU917603 SHQ917603 SRM917603 TBI917603 TLE917603 TVA917603 UEW917603 UOS917603 UYO917603 VIK917603 VSG917603 WCC917603 WLY917603 WVU917603 M983139 JI983139 TE983139 ADA983139 AMW983139 AWS983139 BGO983139 BQK983139 CAG983139 CKC983139 CTY983139 DDU983139 DNQ983139 DXM983139 EHI983139 ERE983139 FBA983139 FKW983139 FUS983139 GEO983139 GOK983139 GYG983139 HIC983139 HRY983139 IBU983139 ILQ983139 IVM983139 JFI983139 JPE983139 JZA983139 KIW983139 KSS983139 LCO983139 LMK983139 LWG983139 MGC983139 MPY983139 MZU983139 NJQ983139 NTM983139 ODI983139 ONE983139 OXA983139 PGW983139 PQS983139 QAO983139 QKK983139 QUG983139 REC983139 RNY983139 RXU983139 SHQ983139 SRM983139 TBI983139 TLE983139 TVA983139 UEW983139 UOS983139 UYO983139 VIK983139 VSG983139 WCC983139 WLY983139 WVU983139 JM100:JM101 TI100:TI101 ADE100:ADE101 ANA100:ANA101 AWW100:AWW101 BGS100:BGS101 BQO100:BQO101 CAK100:CAK101 CKG100:CKG101 CUC100:CUC101 DDY100:DDY101 DNU100:DNU101 DXQ100:DXQ101 EHM100:EHM101 ERI100:ERI101 FBE100:FBE101 FLA100:FLA101 FUW100:FUW101 GES100:GES101 GOO100:GOO101 GYK100:GYK101 HIG100:HIG101 HSC100:HSC101 IBY100:IBY101 ILU100:ILU101 IVQ100:IVQ101 JFM100:JFM101 JPI100:JPI101 JZE100:JZE101 KJA100:KJA101 KSW100:KSW101 LCS100:LCS101 LMO100:LMO101 LWK100:LWK101 MGG100:MGG101 MQC100:MQC101 MZY100:MZY101 NJU100:NJU101 NTQ100:NTQ101 ODM100:ODM101 ONI100:ONI101 OXE100:OXE101 PHA100:PHA101 PQW100:PQW101 QAS100:QAS101 QKO100:QKO101 QUK100:QUK101 REG100:REG101 ROC100:ROC101 RXY100:RXY101 SHU100:SHU101 SRQ100:SRQ101 TBM100:TBM101 TLI100:TLI101 TVE100:TVE101 UFA100:UFA101 UOW100:UOW101 UYS100:UYS101 VIO100:VIO101 VSK100:VSK101 WCG100:WCG101 WMC100:WMC101 WVY100:WVY101 Q65635:Q65636 JM65635:JM65636 TI65635:TI65636 ADE65635:ADE65636 ANA65635:ANA65636 AWW65635:AWW65636 BGS65635:BGS65636 BQO65635:BQO65636 CAK65635:CAK65636 CKG65635:CKG65636 CUC65635:CUC65636 DDY65635:DDY65636 DNU65635:DNU65636 DXQ65635:DXQ65636 EHM65635:EHM65636 ERI65635:ERI65636 FBE65635:FBE65636 FLA65635:FLA65636 FUW65635:FUW65636 GES65635:GES65636 GOO65635:GOO65636 GYK65635:GYK65636 HIG65635:HIG65636 HSC65635:HSC65636 IBY65635:IBY65636 ILU65635:ILU65636 IVQ65635:IVQ65636 JFM65635:JFM65636 JPI65635:JPI65636 JZE65635:JZE65636 KJA65635:KJA65636 KSW65635:KSW65636 LCS65635:LCS65636 LMO65635:LMO65636 LWK65635:LWK65636 MGG65635:MGG65636 MQC65635:MQC65636 MZY65635:MZY65636 NJU65635:NJU65636 NTQ65635:NTQ65636 ODM65635:ODM65636 ONI65635:ONI65636 OXE65635:OXE65636 PHA65635:PHA65636 PQW65635:PQW65636 QAS65635:QAS65636 QKO65635:QKO65636 QUK65635:QUK65636 REG65635:REG65636 ROC65635:ROC65636 RXY65635:RXY65636 SHU65635:SHU65636 SRQ65635:SRQ65636 TBM65635:TBM65636 TLI65635:TLI65636 TVE65635:TVE65636 UFA65635:UFA65636 UOW65635:UOW65636 UYS65635:UYS65636 VIO65635:VIO65636 VSK65635:VSK65636 WCG65635:WCG65636 WMC65635:WMC65636 WVY65635:WVY65636 Q131171:Q131172 JM131171:JM131172 TI131171:TI131172 ADE131171:ADE131172 ANA131171:ANA131172 AWW131171:AWW131172 BGS131171:BGS131172 BQO131171:BQO131172 CAK131171:CAK131172 CKG131171:CKG131172 CUC131171:CUC131172 DDY131171:DDY131172 DNU131171:DNU131172 DXQ131171:DXQ131172 EHM131171:EHM131172 ERI131171:ERI131172 FBE131171:FBE131172 FLA131171:FLA131172 FUW131171:FUW131172 GES131171:GES131172 GOO131171:GOO131172 GYK131171:GYK131172 HIG131171:HIG131172 HSC131171:HSC131172 IBY131171:IBY131172 ILU131171:ILU131172 IVQ131171:IVQ131172 JFM131171:JFM131172 JPI131171:JPI131172 JZE131171:JZE131172 KJA131171:KJA131172 KSW131171:KSW131172 LCS131171:LCS131172 LMO131171:LMO131172 LWK131171:LWK131172 MGG131171:MGG131172 MQC131171:MQC131172 MZY131171:MZY131172 NJU131171:NJU131172 NTQ131171:NTQ131172 ODM131171:ODM131172 ONI131171:ONI131172 OXE131171:OXE131172 PHA131171:PHA131172 PQW131171:PQW131172 QAS131171:QAS131172 QKO131171:QKO131172 QUK131171:QUK131172 REG131171:REG131172 ROC131171:ROC131172 RXY131171:RXY131172 SHU131171:SHU131172 SRQ131171:SRQ131172 TBM131171:TBM131172 TLI131171:TLI131172 TVE131171:TVE131172 UFA131171:UFA131172 UOW131171:UOW131172 UYS131171:UYS131172 VIO131171:VIO131172 VSK131171:VSK131172 WCG131171:WCG131172 WMC131171:WMC131172 WVY131171:WVY131172 Q196707:Q196708 JM196707:JM196708 TI196707:TI196708 ADE196707:ADE196708 ANA196707:ANA196708 AWW196707:AWW196708 BGS196707:BGS196708 BQO196707:BQO196708 CAK196707:CAK196708 CKG196707:CKG196708 CUC196707:CUC196708 DDY196707:DDY196708 DNU196707:DNU196708 DXQ196707:DXQ196708 EHM196707:EHM196708 ERI196707:ERI196708 FBE196707:FBE196708 FLA196707:FLA196708 FUW196707:FUW196708 GES196707:GES196708 GOO196707:GOO196708 GYK196707:GYK196708 HIG196707:HIG196708 HSC196707:HSC196708 IBY196707:IBY196708 ILU196707:ILU196708 IVQ196707:IVQ196708 JFM196707:JFM196708 JPI196707:JPI196708 JZE196707:JZE196708 KJA196707:KJA196708 KSW196707:KSW196708 LCS196707:LCS196708 LMO196707:LMO196708 LWK196707:LWK196708 MGG196707:MGG196708 MQC196707:MQC196708 MZY196707:MZY196708 NJU196707:NJU196708 NTQ196707:NTQ196708 ODM196707:ODM196708 ONI196707:ONI196708 OXE196707:OXE196708 PHA196707:PHA196708 PQW196707:PQW196708 QAS196707:QAS196708 QKO196707:QKO196708 QUK196707:QUK196708 REG196707:REG196708 ROC196707:ROC196708 RXY196707:RXY196708 SHU196707:SHU196708 SRQ196707:SRQ196708 TBM196707:TBM196708 TLI196707:TLI196708 TVE196707:TVE196708 UFA196707:UFA196708 UOW196707:UOW196708 UYS196707:UYS196708 VIO196707:VIO196708 VSK196707:VSK196708 WCG196707:WCG196708 WMC196707:WMC196708 WVY196707:WVY196708 Q262243:Q262244 JM262243:JM262244 TI262243:TI262244 ADE262243:ADE262244 ANA262243:ANA262244 AWW262243:AWW262244 BGS262243:BGS262244 BQO262243:BQO262244 CAK262243:CAK262244 CKG262243:CKG262244 CUC262243:CUC262244 DDY262243:DDY262244 DNU262243:DNU262244 DXQ262243:DXQ262244 EHM262243:EHM262244 ERI262243:ERI262244 FBE262243:FBE262244 FLA262243:FLA262244 FUW262243:FUW262244 GES262243:GES262244 GOO262243:GOO262244 GYK262243:GYK262244 HIG262243:HIG262244 HSC262243:HSC262244 IBY262243:IBY262244 ILU262243:ILU262244 IVQ262243:IVQ262244 JFM262243:JFM262244 JPI262243:JPI262244 JZE262243:JZE262244 KJA262243:KJA262244 KSW262243:KSW262244 LCS262243:LCS262244 LMO262243:LMO262244 LWK262243:LWK262244 MGG262243:MGG262244 MQC262243:MQC262244 MZY262243:MZY262244 NJU262243:NJU262244 NTQ262243:NTQ262244 ODM262243:ODM262244 ONI262243:ONI262244 OXE262243:OXE262244 PHA262243:PHA262244 PQW262243:PQW262244 QAS262243:QAS262244 QKO262243:QKO262244 QUK262243:QUK262244 REG262243:REG262244 ROC262243:ROC262244 RXY262243:RXY262244 SHU262243:SHU262244 SRQ262243:SRQ262244 TBM262243:TBM262244 TLI262243:TLI262244 TVE262243:TVE262244 UFA262243:UFA262244 UOW262243:UOW262244 UYS262243:UYS262244 VIO262243:VIO262244 VSK262243:VSK262244 WCG262243:WCG262244 WMC262243:WMC262244 WVY262243:WVY262244 Q327779:Q327780 JM327779:JM327780 TI327779:TI327780 ADE327779:ADE327780 ANA327779:ANA327780 AWW327779:AWW327780 BGS327779:BGS327780 BQO327779:BQO327780 CAK327779:CAK327780 CKG327779:CKG327780 CUC327779:CUC327780 DDY327779:DDY327780 DNU327779:DNU327780 DXQ327779:DXQ327780 EHM327779:EHM327780 ERI327779:ERI327780 FBE327779:FBE327780 FLA327779:FLA327780 FUW327779:FUW327780 GES327779:GES327780 GOO327779:GOO327780 GYK327779:GYK327780 HIG327779:HIG327780 HSC327779:HSC327780 IBY327779:IBY327780 ILU327779:ILU327780 IVQ327779:IVQ327780 JFM327779:JFM327780 JPI327779:JPI327780 JZE327779:JZE327780 KJA327779:KJA327780 KSW327779:KSW327780 LCS327779:LCS327780 LMO327779:LMO327780 LWK327779:LWK327780 MGG327779:MGG327780 MQC327779:MQC327780 MZY327779:MZY327780 NJU327779:NJU327780 NTQ327779:NTQ327780 ODM327779:ODM327780 ONI327779:ONI327780 OXE327779:OXE327780 PHA327779:PHA327780 PQW327779:PQW327780 QAS327779:QAS327780 QKO327779:QKO327780 QUK327779:QUK327780 REG327779:REG327780 ROC327779:ROC327780 RXY327779:RXY327780 SHU327779:SHU327780 SRQ327779:SRQ327780 TBM327779:TBM327780 TLI327779:TLI327780 TVE327779:TVE327780 UFA327779:UFA327780 UOW327779:UOW327780 UYS327779:UYS327780 VIO327779:VIO327780 VSK327779:VSK327780 WCG327779:WCG327780 WMC327779:WMC327780 WVY327779:WVY327780 Q393315:Q393316 JM393315:JM393316 TI393315:TI393316 ADE393315:ADE393316 ANA393315:ANA393316 AWW393315:AWW393316 BGS393315:BGS393316 BQO393315:BQO393316 CAK393315:CAK393316 CKG393315:CKG393316 CUC393315:CUC393316 DDY393315:DDY393316 DNU393315:DNU393316 DXQ393315:DXQ393316 EHM393315:EHM393316 ERI393315:ERI393316 FBE393315:FBE393316 FLA393315:FLA393316 FUW393315:FUW393316 GES393315:GES393316 GOO393315:GOO393316 GYK393315:GYK393316 HIG393315:HIG393316 HSC393315:HSC393316 IBY393315:IBY393316 ILU393315:ILU393316 IVQ393315:IVQ393316 JFM393315:JFM393316 JPI393315:JPI393316 JZE393315:JZE393316 KJA393315:KJA393316 KSW393315:KSW393316 LCS393315:LCS393316 LMO393315:LMO393316 LWK393315:LWK393316 MGG393315:MGG393316 MQC393315:MQC393316 MZY393315:MZY393316 NJU393315:NJU393316 NTQ393315:NTQ393316 ODM393315:ODM393316 ONI393315:ONI393316 OXE393315:OXE393316 PHA393315:PHA393316 PQW393315:PQW393316 QAS393315:QAS393316 QKO393315:QKO393316 QUK393315:QUK393316 REG393315:REG393316 ROC393315:ROC393316 RXY393315:RXY393316 SHU393315:SHU393316 SRQ393315:SRQ393316 TBM393315:TBM393316 TLI393315:TLI393316 TVE393315:TVE393316 UFA393315:UFA393316 UOW393315:UOW393316 UYS393315:UYS393316 VIO393315:VIO393316 VSK393315:VSK393316 WCG393315:WCG393316 WMC393315:WMC393316 WVY393315:WVY393316 Q458851:Q458852 JM458851:JM458852 TI458851:TI458852 ADE458851:ADE458852 ANA458851:ANA458852 AWW458851:AWW458852 BGS458851:BGS458852 BQO458851:BQO458852 CAK458851:CAK458852 CKG458851:CKG458852 CUC458851:CUC458852 DDY458851:DDY458852 DNU458851:DNU458852 DXQ458851:DXQ458852 EHM458851:EHM458852 ERI458851:ERI458852 FBE458851:FBE458852 FLA458851:FLA458852 FUW458851:FUW458852 GES458851:GES458852 GOO458851:GOO458852 GYK458851:GYK458852 HIG458851:HIG458852 HSC458851:HSC458852 IBY458851:IBY458852 ILU458851:ILU458852 IVQ458851:IVQ458852 JFM458851:JFM458852 JPI458851:JPI458852 JZE458851:JZE458852 KJA458851:KJA458852 KSW458851:KSW458852 LCS458851:LCS458852 LMO458851:LMO458852 LWK458851:LWK458852 MGG458851:MGG458852 MQC458851:MQC458852 MZY458851:MZY458852 NJU458851:NJU458852 NTQ458851:NTQ458852 ODM458851:ODM458852 ONI458851:ONI458852 OXE458851:OXE458852 PHA458851:PHA458852 PQW458851:PQW458852 QAS458851:QAS458852 QKO458851:QKO458852 QUK458851:QUK458852 REG458851:REG458852 ROC458851:ROC458852 RXY458851:RXY458852 SHU458851:SHU458852 SRQ458851:SRQ458852 TBM458851:TBM458852 TLI458851:TLI458852 TVE458851:TVE458852 UFA458851:UFA458852 UOW458851:UOW458852 UYS458851:UYS458852 VIO458851:VIO458852 VSK458851:VSK458852 WCG458851:WCG458852 WMC458851:WMC458852 WVY458851:WVY458852 Q524387:Q524388 JM524387:JM524388 TI524387:TI524388 ADE524387:ADE524388 ANA524387:ANA524388 AWW524387:AWW524388 BGS524387:BGS524388 BQO524387:BQO524388 CAK524387:CAK524388 CKG524387:CKG524388 CUC524387:CUC524388 DDY524387:DDY524388 DNU524387:DNU524388 DXQ524387:DXQ524388 EHM524387:EHM524388 ERI524387:ERI524388 FBE524387:FBE524388 FLA524387:FLA524388 FUW524387:FUW524388 GES524387:GES524388 GOO524387:GOO524388 GYK524387:GYK524388 HIG524387:HIG524388 HSC524387:HSC524388 IBY524387:IBY524388 ILU524387:ILU524388 IVQ524387:IVQ524388 JFM524387:JFM524388 JPI524387:JPI524388 JZE524387:JZE524388 KJA524387:KJA524388 KSW524387:KSW524388 LCS524387:LCS524388 LMO524387:LMO524388 LWK524387:LWK524388 MGG524387:MGG524388 MQC524387:MQC524388 MZY524387:MZY524388 NJU524387:NJU524388 NTQ524387:NTQ524388 ODM524387:ODM524388 ONI524387:ONI524388 OXE524387:OXE524388 PHA524387:PHA524388 PQW524387:PQW524388 QAS524387:QAS524388 QKO524387:QKO524388 QUK524387:QUK524388 REG524387:REG524388 ROC524387:ROC524388 RXY524387:RXY524388 SHU524387:SHU524388 SRQ524387:SRQ524388 TBM524387:TBM524388 TLI524387:TLI524388 TVE524387:TVE524388 UFA524387:UFA524388 UOW524387:UOW524388 UYS524387:UYS524388 VIO524387:VIO524388 VSK524387:VSK524388 WCG524387:WCG524388 WMC524387:WMC524388 WVY524387:WVY524388 Q589923:Q589924 JM589923:JM589924 TI589923:TI589924 ADE589923:ADE589924 ANA589923:ANA589924 AWW589923:AWW589924 BGS589923:BGS589924 BQO589923:BQO589924 CAK589923:CAK589924 CKG589923:CKG589924 CUC589923:CUC589924 DDY589923:DDY589924 DNU589923:DNU589924 DXQ589923:DXQ589924 EHM589923:EHM589924 ERI589923:ERI589924 FBE589923:FBE589924 FLA589923:FLA589924 FUW589923:FUW589924 GES589923:GES589924 GOO589923:GOO589924 GYK589923:GYK589924 HIG589923:HIG589924 HSC589923:HSC589924 IBY589923:IBY589924 ILU589923:ILU589924 IVQ589923:IVQ589924 JFM589923:JFM589924 JPI589923:JPI589924 JZE589923:JZE589924 KJA589923:KJA589924 KSW589923:KSW589924 LCS589923:LCS589924 LMO589923:LMO589924 LWK589923:LWK589924 MGG589923:MGG589924 MQC589923:MQC589924 MZY589923:MZY589924 NJU589923:NJU589924 NTQ589923:NTQ589924 ODM589923:ODM589924 ONI589923:ONI589924 OXE589923:OXE589924 PHA589923:PHA589924 PQW589923:PQW589924 QAS589923:QAS589924 QKO589923:QKO589924 QUK589923:QUK589924 REG589923:REG589924 ROC589923:ROC589924 RXY589923:RXY589924 SHU589923:SHU589924 SRQ589923:SRQ589924 TBM589923:TBM589924 TLI589923:TLI589924 TVE589923:TVE589924 UFA589923:UFA589924 UOW589923:UOW589924 UYS589923:UYS589924 VIO589923:VIO589924 VSK589923:VSK589924 WCG589923:WCG589924 WMC589923:WMC589924 WVY589923:WVY589924 Q655459:Q655460 JM655459:JM655460 TI655459:TI655460 ADE655459:ADE655460 ANA655459:ANA655460 AWW655459:AWW655460 BGS655459:BGS655460 BQO655459:BQO655460 CAK655459:CAK655460 CKG655459:CKG655460 CUC655459:CUC655460 DDY655459:DDY655460 DNU655459:DNU655460 DXQ655459:DXQ655460 EHM655459:EHM655460 ERI655459:ERI655460 FBE655459:FBE655460 FLA655459:FLA655460 FUW655459:FUW655460 GES655459:GES655460 GOO655459:GOO655460 GYK655459:GYK655460 HIG655459:HIG655460 HSC655459:HSC655460 IBY655459:IBY655460 ILU655459:ILU655460 IVQ655459:IVQ655460 JFM655459:JFM655460 JPI655459:JPI655460 JZE655459:JZE655460 KJA655459:KJA655460 KSW655459:KSW655460 LCS655459:LCS655460 LMO655459:LMO655460 LWK655459:LWK655460 MGG655459:MGG655460 MQC655459:MQC655460 MZY655459:MZY655460 NJU655459:NJU655460 NTQ655459:NTQ655460 ODM655459:ODM655460 ONI655459:ONI655460 OXE655459:OXE655460 PHA655459:PHA655460 PQW655459:PQW655460 QAS655459:QAS655460 QKO655459:QKO655460 QUK655459:QUK655460 REG655459:REG655460 ROC655459:ROC655460 RXY655459:RXY655460 SHU655459:SHU655460 SRQ655459:SRQ655460 TBM655459:TBM655460 TLI655459:TLI655460 TVE655459:TVE655460 UFA655459:UFA655460 UOW655459:UOW655460 UYS655459:UYS655460 VIO655459:VIO655460 VSK655459:VSK655460 WCG655459:WCG655460 WMC655459:WMC655460 WVY655459:WVY655460 Q720995:Q720996 JM720995:JM720996 TI720995:TI720996 ADE720995:ADE720996 ANA720995:ANA720996 AWW720995:AWW720996 BGS720995:BGS720996 BQO720995:BQO720996 CAK720995:CAK720996 CKG720995:CKG720996 CUC720995:CUC720996 DDY720995:DDY720996 DNU720995:DNU720996 DXQ720995:DXQ720996 EHM720995:EHM720996 ERI720995:ERI720996 FBE720995:FBE720996 FLA720995:FLA720996 FUW720995:FUW720996 GES720995:GES720996 GOO720995:GOO720996 GYK720995:GYK720996 HIG720995:HIG720996 HSC720995:HSC720996 IBY720995:IBY720996 ILU720995:ILU720996 IVQ720995:IVQ720996 JFM720995:JFM720996 JPI720995:JPI720996 JZE720995:JZE720996 KJA720995:KJA720996 KSW720995:KSW720996 LCS720995:LCS720996 LMO720995:LMO720996 LWK720995:LWK720996 MGG720995:MGG720996 MQC720995:MQC720996 MZY720995:MZY720996 NJU720995:NJU720996 NTQ720995:NTQ720996 ODM720995:ODM720996 ONI720995:ONI720996 OXE720995:OXE720996 PHA720995:PHA720996 PQW720995:PQW720996 QAS720995:QAS720996 QKO720995:QKO720996 QUK720995:QUK720996 REG720995:REG720996 ROC720995:ROC720996 RXY720995:RXY720996 SHU720995:SHU720996 SRQ720995:SRQ720996 TBM720995:TBM720996 TLI720995:TLI720996 TVE720995:TVE720996 UFA720995:UFA720996 UOW720995:UOW720996 UYS720995:UYS720996 VIO720995:VIO720996 VSK720995:VSK720996 WCG720995:WCG720996 WMC720995:WMC720996 WVY720995:WVY720996 Q786531:Q786532 JM786531:JM786532 TI786531:TI786532 ADE786531:ADE786532 ANA786531:ANA786532 AWW786531:AWW786532 BGS786531:BGS786532 BQO786531:BQO786532 CAK786531:CAK786532 CKG786531:CKG786532 CUC786531:CUC786532 DDY786531:DDY786532 DNU786531:DNU786532 DXQ786531:DXQ786532 EHM786531:EHM786532 ERI786531:ERI786532 FBE786531:FBE786532 FLA786531:FLA786532 FUW786531:FUW786532 GES786531:GES786532 GOO786531:GOO786532 GYK786531:GYK786532 HIG786531:HIG786532 HSC786531:HSC786532 IBY786531:IBY786532 ILU786531:ILU786532 IVQ786531:IVQ786532 JFM786531:JFM786532 JPI786531:JPI786532 JZE786531:JZE786532 KJA786531:KJA786532 KSW786531:KSW786532 LCS786531:LCS786532 LMO786531:LMO786532 LWK786531:LWK786532 MGG786531:MGG786532 MQC786531:MQC786532 MZY786531:MZY786532 NJU786531:NJU786532 NTQ786531:NTQ786532 ODM786531:ODM786532 ONI786531:ONI786532 OXE786531:OXE786532 PHA786531:PHA786532 PQW786531:PQW786532 QAS786531:QAS786532 QKO786531:QKO786532 QUK786531:QUK786532 REG786531:REG786532 ROC786531:ROC786532 RXY786531:RXY786532 SHU786531:SHU786532 SRQ786531:SRQ786532 TBM786531:TBM786532 TLI786531:TLI786532 TVE786531:TVE786532 UFA786531:UFA786532 UOW786531:UOW786532 UYS786531:UYS786532 VIO786531:VIO786532 VSK786531:VSK786532 WCG786531:WCG786532 WMC786531:WMC786532 WVY786531:WVY786532 Q852067:Q852068 JM852067:JM852068 TI852067:TI852068 ADE852067:ADE852068 ANA852067:ANA852068 AWW852067:AWW852068 BGS852067:BGS852068 BQO852067:BQO852068 CAK852067:CAK852068 CKG852067:CKG852068 CUC852067:CUC852068 DDY852067:DDY852068 DNU852067:DNU852068 DXQ852067:DXQ852068 EHM852067:EHM852068 ERI852067:ERI852068 FBE852067:FBE852068 FLA852067:FLA852068 FUW852067:FUW852068 GES852067:GES852068 GOO852067:GOO852068 GYK852067:GYK852068 HIG852067:HIG852068 HSC852067:HSC852068 IBY852067:IBY852068 ILU852067:ILU852068 IVQ852067:IVQ852068 JFM852067:JFM852068 JPI852067:JPI852068 JZE852067:JZE852068 KJA852067:KJA852068 KSW852067:KSW852068 LCS852067:LCS852068 LMO852067:LMO852068 LWK852067:LWK852068 MGG852067:MGG852068 MQC852067:MQC852068 MZY852067:MZY852068 NJU852067:NJU852068 NTQ852067:NTQ852068 ODM852067:ODM852068 ONI852067:ONI852068 OXE852067:OXE852068 PHA852067:PHA852068 PQW852067:PQW852068 QAS852067:QAS852068 QKO852067:QKO852068 QUK852067:QUK852068 REG852067:REG852068 ROC852067:ROC852068 RXY852067:RXY852068 SHU852067:SHU852068 SRQ852067:SRQ852068 TBM852067:TBM852068 TLI852067:TLI852068 TVE852067:TVE852068 UFA852067:UFA852068 UOW852067:UOW852068 UYS852067:UYS852068 VIO852067:VIO852068 VSK852067:VSK852068 WCG852067:WCG852068 WMC852067:WMC852068 WVY852067:WVY852068 Q917603:Q917604 JM917603:JM917604 TI917603:TI917604 ADE917603:ADE917604 ANA917603:ANA917604 AWW917603:AWW917604 BGS917603:BGS917604 BQO917603:BQO917604 CAK917603:CAK917604 CKG917603:CKG917604 CUC917603:CUC917604 DDY917603:DDY917604 DNU917603:DNU917604 DXQ917603:DXQ917604 EHM917603:EHM917604 ERI917603:ERI917604 FBE917603:FBE917604 FLA917603:FLA917604 FUW917603:FUW917604 GES917603:GES917604 GOO917603:GOO917604 GYK917603:GYK917604 HIG917603:HIG917604 HSC917603:HSC917604 IBY917603:IBY917604 ILU917603:ILU917604 IVQ917603:IVQ917604 JFM917603:JFM917604 JPI917603:JPI917604 JZE917603:JZE917604 KJA917603:KJA917604 KSW917603:KSW917604 LCS917603:LCS917604 LMO917603:LMO917604 LWK917603:LWK917604 MGG917603:MGG917604 MQC917603:MQC917604 MZY917603:MZY917604 NJU917603:NJU917604 NTQ917603:NTQ917604 ODM917603:ODM917604 ONI917603:ONI917604 OXE917603:OXE917604 PHA917603:PHA917604 PQW917603:PQW917604 QAS917603:QAS917604 QKO917603:QKO917604 QUK917603:QUK917604 REG917603:REG917604 ROC917603:ROC917604 RXY917603:RXY917604 SHU917603:SHU917604 SRQ917603:SRQ917604 TBM917603:TBM917604 TLI917603:TLI917604 TVE917603:TVE917604 UFA917603:UFA917604 UOW917603:UOW917604 UYS917603:UYS917604 VIO917603:VIO917604 VSK917603:VSK917604 WCG917603:WCG917604 WMC917603:WMC917604 WVY917603:WVY917604 Q983139:Q983140 JM983139:JM983140 TI983139:TI983140 ADE983139:ADE983140 ANA983139:ANA983140 AWW983139:AWW983140 BGS983139:BGS983140 BQO983139:BQO983140 CAK983139:CAK983140 CKG983139:CKG983140 CUC983139:CUC983140 DDY983139:DDY983140 DNU983139:DNU983140 DXQ983139:DXQ983140 EHM983139:EHM983140 ERI983139:ERI983140 FBE983139:FBE983140 FLA983139:FLA983140 FUW983139:FUW983140 GES983139:GES983140 GOO983139:GOO983140 GYK983139:GYK983140 HIG983139:HIG983140 HSC983139:HSC983140 IBY983139:IBY983140 ILU983139:ILU983140 IVQ983139:IVQ983140 JFM983139:JFM983140 JPI983139:JPI983140 JZE983139:JZE983140 KJA983139:KJA983140 KSW983139:KSW983140 LCS983139:LCS983140 LMO983139:LMO983140 LWK983139:LWK983140 MGG983139:MGG983140 MQC983139:MQC983140 MZY983139:MZY983140 NJU983139:NJU983140 NTQ983139:NTQ983140 ODM983139:ODM983140 ONI983139:ONI983140 OXE983139:OXE983140 PHA983139:PHA983140 PQW983139:PQW983140 QAS983139:QAS983140 QKO983139:QKO983140 QUK983139:QUK983140 REG983139:REG983140 ROC983139:ROC983140 RXY983139:RXY983140 SHU983139:SHU983140 SRQ983139:SRQ983140 TBM983139:TBM983140 TLI983139:TLI983140 TVE983139:TVE983140 UFA983139:UFA983140 UOW983139:UOW983140 UYS983139:UYS983140 VIO983139:VIO983140 VSK983139:VSK983140 WCG983139:WCG983140 WMC983139:WMC983140 WVY983139:WVY983140 JQ100:JQ101 TM100:TM101 ADI100:ADI101 ANE100:ANE101 AXA100:AXA101 BGW100:BGW101 BQS100:BQS101 CAO100:CAO101 CKK100:CKK101 CUG100:CUG101 DEC100:DEC101 DNY100:DNY101 DXU100:DXU101 EHQ100:EHQ101 ERM100:ERM101 FBI100:FBI101 FLE100:FLE101 FVA100:FVA101 GEW100:GEW101 GOS100:GOS101 GYO100:GYO101 HIK100:HIK101 HSG100:HSG101 ICC100:ICC101 ILY100:ILY101 IVU100:IVU101 JFQ100:JFQ101 JPM100:JPM101 JZI100:JZI101 KJE100:KJE101 KTA100:KTA101 LCW100:LCW101 LMS100:LMS101 LWO100:LWO101 MGK100:MGK101 MQG100:MQG101 NAC100:NAC101 NJY100:NJY101 NTU100:NTU101 ODQ100:ODQ101 ONM100:ONM101 OXI100:OXI101 PHE100:PHE101 PRA100:PRA101 QAW100:QAW101 QKS100:QKS101 QUO100:QUO101 REK100:REK101 ROG100:ROG101 RYC100:RYC101 SHY100:SHY101 SRU100:SRU101 TBQ100:TBQ101 TLM100:TLM101 TVI100:TVI101 UFE100:UFE101 UPA100:UPA101 UYW100:UYW101 VIS100:VIS101 VSO100:VSO101 WCK100:WCK101 WMG100:WMG101 WWC100:WWC101 U65635:U65636 JQ65635:JQ65636 TM65635:TM65636 ADI65635:ADI65636 ANE65635:ANE65636 AXA65635:AXA65636 BGW65635:BGW65636 BQS65635:BQS65636 CAO65635:CAO65636 CKK65635:CKK65636 CUG65635:CUG65636 DEC65635:DEC65636 DNY65635:DNY65636 DXU65635:DXU65636 EHQ65635:EHQ65636 ERM65635:ERM65636 FBI65635:FBI65636 FLE65635:FLE65636 FVA65635:FVA65636 GEW65635:GEW65636 GOS65635:GOS65636 GYO65635:GYO65636 HIK65635:HIK65636 HSG65635:HSG65636 ICC65635:ICC65636 ILY65635:ILY65636 IVU65635:IVU65636 JFQ65635:JFQ65636 JPM65635:JPM65636 JZI65635:JZI65636 KJE65635:KJE65636 KTA65635:KTA65636 LCW65635:LCW65636 LMS65635:LMS65636 LWO65635:LWO65636 MGK65635:MGK65636 MQG65635:MQG65636 NAC65635:NAC65636 NJY65635:NJY65636 NTU65635:NTU65636 ODQ65635:ODQ65636 ONM65635:ONM65636 OXI65635:OXI65636 PHE65635:PHE65636 PRA65635:PRA65636 QAW65635:QAW65636 QKS65635:QKS65636 QUO65635:QUO65636 REK65635:REK65636 ROG65635:ROG65636 RYC65635:RYC65636 SHY65635:SHY65636 SRU65635:SRU65636 TBQ65635:TBQ65636 TLM65635:TLM65636 TVI65635:TVI65636 UFE65635:UFE65636 UPA65635:UPA65636 UYW65635:UYW65636 VIS65635:VIS65636 VSO65635:VSO65636 WCK65635:WCK65636 WMG65635:WMG65636 WWC65635:WWC65636 U131171:U131172 JQ131171:JQ131172 TM131171:TM131172 ADI131171:ADI131172 ANE131171:ANE131172 AXA131171:AXA131172 BGW131171:BGW131172 BQS131171:BQS131172 CAO131171:CAO131172 CKK131171:CKK131172 CUG131171:CUG131172 DEC131171:DEC131172 DNY131171:DNY131172 DXU131171:DXU131172 EHQ131171:EHQ131172 ERM131171:ERM131172 FBI131171:FBI131172 FLE131171:FLE131172 FVA131171:FVA131172 GEW131171:GEW131172 GOS131171:GOS131172 GYO131171:GYO131172 HIK131171:HIK131172 HSG131171:HSG131172 ICC131171:ICC131172 ILY131171:ILY131172 IVU131171:IVU131172 JFQ131171:JFQ131172 JPM131171:JPM131172 JZI131171:JZI131172 KJE131171:KJE131172 KTA131171:KTA131172 LCW131171:LCW131172 LMS131171:LMS131172 LWO131171:LWO131172 MGK131171:MGK131172 MQG131171:MQG131172 NAC131171:NAC131172 NJY131171:NJY131172 NTU131171:NTU131172 ODQ131171:ODQ131172 ONM131171:ONM131172 OXI131171:OXI131172 PHE131171:PHE131172 PRA131171:PRA131172 QAW131171:QAW131172 QKS131171:QKS131172 QUO131171:QUO131172 REK131171:REK131172 ROG131171:ROG131172 RYC131171:RYC131172 SHY131171:SHY131172 SRU131171:SRU131172 TBQ131171:TBQ131172 TLM131171:TLM131172 TVI131171:TVI131172 UFE131171:UFE131172 UPA131171:UPA131172 UYW131171:UYW131172 VIS131171:VIS131172 VSO131171:VSO131172 WCK131171:WCK131172 WMG131171:WMG131172 WWC131171:WWC131172 U196707:U196708 JQ196707:JQ196708 TM196707:TM196708 ADI196707:ADI196708 ANE196707:ANE196708 AXA196707:AXA196708 BGW196707:BGW196708 BQS196707:BQS196708 CAO196707:CAO196708 CKK196707:CKK196708 CUG196707:CUG196708 DEC196707:DEC196708 DNY196707:DNY196708 DXU196707:DXU196708 EHQ196707:EHQ196708 ERM196707:ERM196708 FBI196707:FBI196708 FLE196707:FLE196708 FVA196707:FVA196708 GEW196707:GEW196708 GOS196707:GOS196708 GYO196707:GYO196708 HIK196707:HIK196708 HSG196707:HSG196708 ICC196707:ICC196708 ILY196707:ILY196708 IVU196707:IVU196708 JFQ196707:JFQ196708 JPM196707:JPM196708 JZI196707:JZI196708 KJE196707:KJE196708 KTA196707:KTA196708 LCW196707:LCW196708 LMS196707:LMS196708 LWO196707:LWO196708 MGK196707:MGK196708 MQG196707:MQG196708 NAC196707:NAC196708 NJY196707:NJY196708 NTU196707:NTU196708 ODQ196707:ODQ196708 ONM196707:ONM196708 OXI196707:OXI196708 PHE196707:PHE196708 PRA196707:PRA196708 QAW196707:QAW196708 QKS196707:QKS196708 QUO196707:QUO196708 REK196707:REK196708 ROG196707:ROG196708 RYC196707:RYC196708 SHY196707:SHY196708 SRU196707:SRU196708 TBQ196707:TBQ196708 TLM196707:TLM196708 TVI196707:TVI196708 UFE196707:UFE196708 UPA196707:UPA196708 UYW196707:UYW196708 VIS196707:VIS196708 VSO196707:VSO196708 WCK196707:WCK196708 WMG196707:WMG196708 WWC196707:WWC196708 U262243:U262244 JQ262243:JQ262244 TM262243:TM262244 ADI262243:ADI262244 ANE262243:ANE262244 AXA262243:AXA262244 BGW262243:BGW262244 BQS262243:BQS262244 CAO262243:CAO262244 CKK262243:CKK262244 CUG262243:CUG262244 DEC262243:DEC262244 DNY262243:DNY262244 DXU262243:DXU262244 EHQ262243:EHQ262244 ERM262243:ERM262244 FBI262243:FBI262244 FLE262243:FLE262244 FVA262243:FVA262244 GEW262243:GEW262244 GOS262243:GOS262244 GYO262243:GYO262244 HIK262243:HIK262244 HSG262243:HSG262244 ICC262243:ICC262244 ILY262243:ILY262244 IVU262243:IVU262244 JFQ262243:JFQ262244 JPM262243:JPM262244 JZI262243:JZI262244 KJE262243:KJE262244 KTA262243:KTA262244 LCW262243:LCW262244 LMS262243:LMS262244 LWO262243:LWO262244 MGK262243:MGK262244 MQG262243:MQG262244 NAC262243:NAC262244 NJY262243:NJY262244 NTU262243:NTU262244 ODQ262243:ODQ262244 ONM262243:ONM262244 OXI262243:OXI262244 PHE262243:PHE262244 PRA262243:PRA262244 QAW262243:QAW262244 QKS262243:QKS262244 QUO262243:QUO262244 REK262243:REK262244 ROG262243:ROG262244 RYC262243:RYC262244 SHY262243:SHY262244 SRU262243:SRU262244 TBQ262243:TBQ262244 TLM262243:TLM262244 TVI262243:TVI262244 UFE262243:UFE262244 UPA262243:UPA262244 UYW262243:UYW262244 VIS262243:VIS262244 VSO262243:VSO262244 WCK262243:WCK262244 WMG262243:WMG262244 WWC262243:WWC262244 U327779:U327780 JQ327779:JQ327780 TM327779:TM327780 ADI327779:ADI327780 ANE327779:ANE327780 AXA327779:AXA327780 BGW327779:BGW327780 BQS327779:BQS327780 CAO327779:CAO327780 CKK327779:CKK327780 CUG327779:CUG327780 DEC327779:DEC327780 DNY327779:DNY327780 DXU327779:DXU327780 EHQ327779:EHQ327780 ERM327779:ERM327780 FBI327779:FBI327780 FLE327779:FLE327780 FVA327779:FVA327780 GEW327779:GEW327780 GOS327779:GOS327780 GYO327779:GYO327780 HIK327779:HIK327780 HSG327779:HSG327780 ICC327779:ICC327780 ILY327779:ILY327780 IVU327779:IVU327780 JFQ327779:JFQ327780 JPM327779:JPM327780 JZI327779:JZI327780 KJE327779:KJE327780 KTA327779:KTA327780 LCW327779:LCW327780 LMS327779:LMS327780 LWO327779:LWO327780 MGK327779:MGK327780 MQG327779:MQG327780 NAC327779:NAC327780 NJY327779:NJY327780 NTU327779:NTU327780 ODQ327779:ODQ327780 ONM327779:ONM327780 OXI327779:OXI327780 PHE327779:PHE327780 PRA327779:PRA327780 QAW327779:QAW327780 QKS327779:QKS327780 QUO327779:QUO327780 REK327779:REK327780 ROG327779:ROG327780 RYC327779:RYC327780 SHY327779:SHY327780 SRU327779:SRU327780 TBQ327779:TBQ327780 TLM327779:TLM327780 TVI327779:TVI327780 UFE327779:UFE327780 UPA327779:UPA327780 UYW327779:UYW327780 VIS327779:VIS327780 VSO327779:VSO327780 WCK327779:WCK327780 WMG327779:WMG327780 WWC327779:WWC327780 U393315:U393316 JQ393315:JQ393316 TM393315:TM393316 ADI393315:ADI393316 ANE393315:ANE393316 AXA393315:AXA393316 BGW393315:BGW393316 BQS393315:BQS393316 CAO393315:CAO393316 CKK393315:CKK393316 CUG393315:CUG393316 DEC393315:DEC393316 DNY393315:DNY393316 DXU393315:DXU393316 EHQ393315:EHQ393316 ERM393315:ERM393316 FBI393315:FBI393316 FLE393315:FLE393316 FVA393315:FVA393316 GEW393315:GEW393316 GOS393315:GOS393316 GYO393315:GYO393316 HIK393315:HIK393316 HSG393315:HSG393316 ICC393315:ICC393316 ILY393315:ILY393316 IVU393315:IVU393316 JFQ393315:JFQ393316 JPM393315:JPM393316 JZI393315:JZI393316 KJE393315:KJE393316 KTA393315:KTA393316 LCW393315:LCW393316 LMS393315:LMS393316 LWO393315:LWO393316 MGK393315:MGK393316 MQG393315:MQG393316 NAC393315:NAC393316 NJY393315:NJY393316 NTU393315:NTU393316 ODQ393315:ODQ393316 ONM393315:ONM393316 OXI393315:OXI393316 PHE393315:PHE393316 PRA393315:PRA393316 QAW393315:QAW393316 QKS393315:QKS393316 QUO393315:QUO393316 REK393315:REK393316 ROG393315:ROG393316 RYC393315:RYC393316 SHY393315:SHY393316 SRU393315:SRU393316 TBQ393315:TBQ393316 TLM393315:TLM393316 TVI393315:TVI393316 UFE393315:UFE393316 UPA393315:UPA393316 UYW393315:UYW393316 VIS393315:VIS393316 VSO393315:VSO393316 WCK393315:WCK393316 WMG393315:WMG393316 WWC393315:WWC393316 U458851:U458852 JQ458851:JQ458852 TM458851:TM458852 ADI458851:ADI458852 ANE458851:ANE458852 AXA458851:AXA458852 BGW458851:BGW458852 BQS458851:BQS458852 CAO458851:CAO458852 CKK458851:CKK458852 CUG458851:CUG458852 DEC458851:DEC458852 DNY458851:DNY458852 DXU458851:DXU458852 EHQ458851:EHQ458852 ERM458851:ERM458852 FBI458851:FBI458852 FLE458851:FLE458852 FVA458851:FVA458852 GEW458851:GEW458852 GOS458851:GOS458852 GYO458851:GYO458852 HIK458851:HIK458852 HSG458851:HSG458852 ICC458851:ICC458852 ILY458851:ILY458852 IVU458851:IVU458852 JFQ458851:JFQ458852 JPM458851:JPM458852 JZI458851:JZI458852 KJE458851:KJE458852 KTA458851:KTA458852 LCW458851:LCW458852 LMS458851:LMS458852 LWO458851:LWO458852 MGK458851:MGK458852 MQG458851:MQG458852 NAC458851:NAC458852 NJY458851:NJY458852 NTU458851:NTU458852 ODQ458851:ODQ458852 ONM458851:ONM458852 OXI458851:OXI458852 PHE458851:PHE458852 PRA458851:PRA458852 QAW458851:QAW458852 QKS458851:QKS458852 QUO458851:QUO458852 REK458851:REK458852 ROG458851:ROG458852 RYC458851:RYC458852 SHY458851:SHY458852 SRU458851:SRU458852 TBQ458851:TBQ458852 TLM458851:TLM458852 TVI458851:TVI458852 UFE458851:UFE458852 UPA458851:UPA458852 UYW458851:UYW458852 VIS458851:VIS458852 VSO458851:VSO458852 WCK458851:WCK458852 WMG458851:WMG458852 WWC458851:WWC458852 U524387:U524388 JQ524387:JQ524388 TM524387:TM524388 ADI524387:ADI524388 ANE524387:ANE524388 AXA524387:AXA524388 BGW524387:BGW524388 BQS524387:BQS524388 CAO524387:CAO524388 CKK524387:CKK524388 CUG524387:CUG524388 DEC524387:DEC524388 DNY524387:DNY524388 DXU524387:DXU524388 EHQ524387:EHQ524388 ERM524387:ERM524388 FBI524387:FBI524388 FLE524387:FLE524388 FVA524387:FVA524388 GEW524387:GEW524388 GOS524387:GOS524388 GYO524387:GYO524388 HIK524387:HIK524388 HSG524387:HSG524388 ICC524387:ICC524388 ILY524387:ILY524388 IVU524387:IVU524388 JFQ524387:JFQ524388 JPM524387:JPM524388 JZI524387:JZI524388 KJE524387:KJE524388 KTA524387:KTA524388 LCW524387:LCW524388 LMS524387:LMS524388 LWO524387:LWO524388 MGK524387:MGK524388 MQG524387:MQG524388 NAC524387:NAC524388 NJY524387:NJY524388 NTU524387:NTU524388 ODQ524387:ODQ524388 ONM524387:ONM524388 OXI524387:OXI524388 PHE524387:PHE524388 PRA524387:PRA524388 QAW524387:QAW524388 QKS524387:QKS524388 QUO524387:QUO524388 REK524387:REK524388 ROG524387:ROG524388 RYC524387:RYC524388 SHY524387:SHY524388 SRU524387:SRU524388 TBQ524387:TBQ524388 TLM524387:TLM524388 TVI524387:TVI524388 UFE524387:UFE524388 UPA524387:UPA524388 UYW524387:UYW524388 VIS524387:VIS524388 VSO524387:VSO524388 WCK524387:WCK524388 WMG524387:WMG524388 WWC524387:WWC524388 U589923:U589924 JQ589923:JQ589924 TM589923:TM589924 ADI589923:ADI589924 ANE589923:ANE589924 AXA589923:AXA589924 BGW589923:BGW589924 BQS589923:BQS589924 CAO589923:CAO589924 CKK589923:CKK589924 CUG589923:CUG589924 DEC589923:DEC589924 DNY589923:DNY589924 DXU589923:DXU589924 EHQ589923:EHQ589924 ERM589923:ERM589924 FBI589923:FBI589924 FLE589923:FLE589924 FVA589923:FVA589924 GEW589923:GEW589924 GOS589923:GOS589924 GYO589923:GYO589924 HIK589923:HIK589924 HSG589923:HSG589924 ICC589923:ICC589924 ILY589923:ILY589924 IVU589923:IVU589924 JFQ589923:JFQ589924 JPM589923:JPM589924 JZI589923:JZI589924 KJE589923:KJE589924 KTA589923:KTA589924 LCW589923:LCW589924 LMS589923:LMS589924 LWO589923:LWO589924 MGK589923:MGK589924 MQG589923:MQG589924 NAC589923:NAC589924 NJY589923:NJY589924 NTU589923:NTU589924 ODQ589923:ODQ589924 ONM589923:ONM589924 OXI589923:OXI589924 PHE589923:PHE589924 PRA589923:PRA589924 QAW589923:QAW589924 QKS589923:QKS589924 QUO589923:QUO589924 REK589923:REK589924 ROG589923:ROG589924 RYC589923:RYC589924 SHY589923:SHY589924 SRU589923:SRU589924 TBQ589923:TBQ589924 TLM589923:TLM589924 TVI589923:TVI589924 UFE589923:UFE589924 UPA589923:UPA589924 UYW589923:UYW589924 VIS589923:VIS589924 VSO589923:VSO589924 WCK589923:WCK589924 WMG589923:WMG589924 WWC589923:WWC589924 U655459:U655460 JQ655459:JQ655460 TM655459:TM655460 ADI655459:ADI655460 ANE655459:ANE655460 AXA655459:AXA655460 BGW655459:BGW655460 BQS655459:BQS655460 CAO655459:CAO655460 CKK655459:CKK655460 CUG655459:CUG655460 DEC655459:DEC655460 DNY655459:DNY655460 DXU655459:DXU655460 EHQ655459:EHQ655460 ERM655459:ERM655460 FBI655459:FBI655460 FLE655459:FLE655460 FVA655459:FVA655460 GEW655459:GEW655460 GOS655459:GOS655460 GYO655459:GYO655460 HIK655459:HIK655460 HSG655459:HSG655460 ICC655459:ICC655460 ILY655459:ILY655460 IVU655459:IVU655460 JFQ655459:JFQ655460 JPM655459:JPM655460 JZI655459:JZI655460 KJE655459:KJE655460 KTA655459:KTA655460 LCW655459:LCW655460 LMS655459:LMS655460 LWO655459:LWO655460 MGK655459:MGK655460 MQG655459:MQG655460 NAC655459:NAC655460 NJY655459:NJY655460 NTU655459:NTU655460 ODQ655459:ODQ655460 ONM655459:ONM655460 OXI655459:OXI655460 PHE655459:PHE655460 PRA655459:PRA655460 QAW655459:QAW655460 QKS655459:QKS655460 QUO655459:QUO655460 REK655459:REK655460 ROG655459:ROG655460 RYC655459:RYC655460 SHY655459:SHY655460 SRU655459:SRU655460 TBQ655459:TBQ655460 TLM655459:TLM655460 TVI655459:TVI655460 UFE655459:UFE655460 UPA655459:UPA655460 UYW655459:UYW655460 VIS655459:VIS655460 VSO655459:VSO655460 WCK655459:WCK655460 WMG655459:WMG655460 WWC655459:WWC655460 U720995:U720996 JQ720995:JQ720996 TM720995:TM720996 ADI720995:ADI720996 ANE720995:ANE720996 AXA720995:AXA720996 BGW720995:BGW720996 BQS720995:BQS720996 CAO720995:CAO720996 CKK720995:CKK720996 CUG720995:CUG720996 DEC720995:DEC720996 DNY720995:DNY720996 DXU720995:DXU720996 EHQ720995:EHQ720996 ERM720995:ERM720996 FBI720995:FBI720996 FLE720995:FLE720996 FVA720995:FVA720996 GEW720995:GEW720996 GOS720995:GOS720996 GYO720995:GYO720996 HIK720995:HIK720996 HSG720995:HSG720996 ICC720995:ICC720996 ILY720995:ILY720996 IVU720995:IVU720996 JFQ720995:JFQ720996 JPM720995:JPM720996 JZI720995:JZI720996 KJE720995:KJE720996 KTA720995:KTA720996 LCW720995:LCW720996 LMS720995:LMS720996 LWO720995:LWO720996 MGK720995:MGK720996 MQG720995:MQG720996 NAC720995:NAC720996 NJY720995:NJY720996 NTU720995:NTU720996 ODQ720995:ODQ720996 ONM720995:ONM720996 OXI720995:OXI720996 PHE720995:PHE720996 PRA720995:PRA720996 QAW720995:QAW720996 QKS720995:QKS720996 QUO720995:QUO720996 REK720995:REK720996 ROG720995:ROG720996 RYC720995:RYC720996 SHY720995:SHY720996 SRU720995:SRU720996 TBQ720995:TBQ720996 TLM720995:TLM720996 TVI720995:TVI720996 UFE720995:UFE720996 UPA720995:UPA720996 UYW720995:UYW720996 VIS720995:VIS720996 VSO720995:VSO720996 WCK720995:WCK720996 WMG720995:WMG720996 WWC720995:WWC720996 U786531:U786532 JQ786531:JQ786532 TM786531:TM786532 ADI786531:ADI786532 ANE786531:ANE786532 AXA786531:AXA786532 BGW786531:BGW786532 BQS786531:BQS786532 CAO786531:CAO786532 CKK786531:CKK786532 CUG786531:CUG786532 DEC786531:DEC786532 DNY786531:DNY786532 DXU786531:DXU786532 EHQ786531:EHQ786532 ERM786531:ERM786532 FBI786531:FBI786532 FLE786531:FLE786532 FVA786531:FVA786532 GEW786531:GEW786532 GOS786531:GOS786532 GYO786531:GYO786532 HIK786531:HIK786532 HSG786531:HSG786532 ICC786531:ICC786532 ILY786531:ILY786532 IVU786531:IVU786532 JFQ786531:JFQ786532 JPM786531:JPM786532 JZI786531:JZI786532 KJE786531:KJE786532 KTA786531:KTA786532 LCW786531:LCW786532 LMS786531:LMS786532 LWO786531:LWO786532 MGK786531:MGK786532 MQG786531:MQG786532 NAC786531:NAC786532 NJY786531:NJY786532 NTU786531:NTU786532 ODQ786531:ODQ786532 ONM786531:ONM786532 OXI786531:OXI786532 PHE786531:PHE786532 PRA786531:PRA786532 QAW786531:QAW786532 QKS786531:QKS786532 QUO786531:QUO786532 REK786531:REK786532 ROG786531:ROG786532 RYC786531:RYC786532 SHY786531:SHY786532 SRU786531:SRU786532 TBQ786531:TBQ786532 TLM786531:TLM786532 TVI786531:TVI786532 UFE786531:UFE786532 UPA786531:UPA786532 UYW786531:UYW786532 VIS786531:VIS786532 VSO786531:VSO786532 WCK786531:WCK786532 WMG786531:WMG786532 WWC786531:WWC786532 U852067:U852068 JQ852067:JQ852068 TM852067:TM852068 ADI852067:ADI852068 ANE852067:ANE852068 AXA852067:AXA852068 BGW852067:BGW852068 BQS852067:BQS852068 CAO852067:CAO852068 CKK852067:CKK852068 CUG852067:CUG852068 DEC852067:DEC852068 DNY852067:DNY852068 DXU852067:DXU852068 EHQ852067:EHQ852068 ERM852067:ERM852068 FBI852067:FBI852068 FLE852067:FLE852068 FVA852067:FVA852068 GEW852067:GEW852068 GOS852067:GOS852068 GYO852067:GYO852068 HIK852067:HIK852068 HSG852067:HSG852068 ICC852067:ICC852068 ILY852067:ILY852068 IVU852067:IVU852068 JFQ852067:JFQ852068 JPM852067:JPM852068 JZI852067:JZI852068 KJE852067:KJE852068 KTA852067:KTA852068 LCW852067:LCW852068 LMS852067:LMS852068 LWO852067:LWO852068 MGK852067:MGK852068 MQG852067:MQG852068 NAC852067:NAC852068 NJY852067:NJY852068 NTU852067:NTU852068 ODQ852067:ODQ852068 ONM852067:ONM852068 OXI852067:OXI852068 PHE852067:PHE852068 PRA852067:PRA852068 QAW852067:QAW852068 QKS852067:QKS852068 QUO852067:QUO852068 REK852067:REK852068 ROG852067:ROG852068 RYC852067:RYC852068 SHY852067:SHY852068 SRU852067:SRU852068 TBQ852067:TBQ852068 TLM852067:TLM852068 TVI852067:TVI852068 UFE852067:UFE852068 UPA852067:UPA852068 UYW852067:UYW852068 VIS852067:VIS852068 VSO852067:VSO852068 WCK852067:WCK852068 WMG852067:WMG852068 WWC852067:WWC852068 U917603:U917604 JQ917603:JQ917604 TM917603:TM917604 ADI917603:ADI917604 ANE917603:ANE917604 AXA917603:AXA917604 BGW917603:BGW917604 BQS917603:BQS917604 CAO917603:CAO917604 CKK917603:CKK917604 CUG917603:CUG917604 DEC917603:DEC917604 DNY917603:DNY917604 DXU917603:DXU917604 EHQ917603:EHQ917604 ERM917603:ERM917604 FBI917603:FBI917604 FLE917603:FLE917604 FVA917603:FVA917604 GEW917603:GEW917604 GOS917603:GOS917604 GYO917603:GYO917604 HIK917603:HIK917604 HSG917603:HSG917604 ICC917603:ICC917604 ILY917603:ILY917604 IVU917603:IVU917604 JFQ917603:JFQ917604 JPM917603:JPM917604 JZI917603:JZI917604 KJE917603:KJE917604 KTA917603:KTA917604 LCW917603:LCW917604 LMS917603:LMS917604 LWO917603:LWO917604 MGK917603:MGK917604 MQG917603:MQG917604 NAC917603:NAC917604 NJY917603:NJY917604 NTU917603:NTU917604 ODQ917603:ODQ917604 ONM917603:ONM917604 OXI917603:OXI917604 PHE917603:PHE917604 PRA917603:PRA917604 QAW917603:QAW917604 QKS917603:QKS917604 QUO917603:QUO917604 REK917603:REK917604 ROG917603:ROG917604 RYC917603:RYC917604 SHY917603:SHY917604 SRU917603:SRU917604 TBQ917603:TBQ917604 TLM917603:TLM917604 TVI917603:TVI917604 UFE917603:UFE917604 UPA917603:UPA917604 UYW917603:UYW917604 VIS917603:VIS917604 VSO917603:VSO917604 WCK917603:WCK917604 WMG917603:WMG917604 WWC917603:WWC917604 U983139:U983140 JQ983139:JQ983140 TM983139:TM983140 ADI983139:ADI983140 ANE983139:ANE983140 AXA983139:AXA983140 BGW983139:BGW983140 BQS983139:BQS983140 CAO983139:CAO983140 CKK983139:CKK983140 CUG983139:CUG983140 DEC983139:DEC983140 DNY983139:DNY983140 DXU983139:DXU983140 EHQ983139:EHQ983140 ERM983139:ERM983140 FBI983139:FBI983140 FLE983139:FLE983140 FVA983139:FVA983140 GEW983139:GEW983140 GOS983139:GOS983140 GYO983139:GYO983140 HIK983139:HIK983140 HSG983139:HSG983140 ICC983139:ICC983140 ILY983139:ILY983140 IVU983139:IVU983140 JFQ983139:JFQ983140 JPM983139:JPM983140 JZI983139:JZI983140 KJE983139:KJE983140 KTA983139:KTA983140 LCW983139:LCW983140 LMS983139:LMS983140 LWO983139:LWO983140 MGK983139:MGK983140 MQG983139:MQG983140 NAC983139:NAC983140 NJY983139:NJY983140 NTU983139:NTU983140 ODQ983139:ODQ983140 ONM983139:ONM983140 OXI983139:OXI983140 PHE983139:PHE983140 PRA983139:PRA983140 QAW983139:QAW983140 QKS983139:QKS983140 QUO983139:QUO983140 REK983139:REK983140 ROG983139:ROG983140 RYC983139:RYC983140 SHY983139:SHY983140 SRU983139:SRU983140 TBQ983139:TBQ983140 TLM983139:TLM983140 TVI983139:TVI983140 UFE983139:UFE983140 UPA983139:UPA983140 UYW983139:UYW983140 VIS983139:VIS983140 VSO983139:VSO983140 WCK983139:WCK983140 WMG983139:WMG983140 WWC983139:WWC983140 FBC71:FBC77 JB102:JB103 SX102:SX103 ACT102:ACT103 AMP102:AMP103 AWL102:AWL103 BGH102:BGH103 BQD102:BQD103 BZZ102:BZZ103 CJV102:CJV103 CTR102:CTR103 DDN102:DDN103 DNJ102:DNJ103 DXF102:DXF103 EHB102:EHB103 EQX102:EQX103 FAT102:FAT103 FKP102:FKP103 FUL102:FUL103 GEH102:GEH103 GOD102:GOD103 GXZ102:GXZ103 HHV102:HHV103 HRR102:HRR103 IBN102:IBN103 ILJ102:ILJ103 IVF102:IVF103 JFB102:JFB103 JOX102:JOX103 JYT102:JYT103 KIP102:KIP103 KSL102:KSL103 LCH102:LCH103 LMD102:LMD103 LVZ102:LVZ103 MFV102:MFV103 MPR102:MPR103 MZN102:MZN103 NJJ102:NJJ103 NTF102:NTF103 ODB102:ODB103 OMX102:OMX103 OWT102:OWT103 PGP102:PGP103 PQL102:PQL103 QAH102:QAH103 QKD102:QKD103 QTZ102:QTZ103 RDV102:RDV103 RNR102:RNR103 RXN102:RXN103 SHJ102:SHJ103 SRF102:SRF103 TBB102:TBB103 TKX102:TKX103 TUT102:TUT103 UEP102:UEP103 UOL102:UOL103 UYH102:UYH103 VID102:VID103 VRZ102:VRZ103 WBV102:WBV103 WLR102:WLR103 WVN102:WVN103 F65637:F65638 JB65637:JB65638 SX65637:SX65638 ACT65637:ACT65638 AMP65637:AMP65638 AWL65637:AWL65638 BGH65637:BGH65638 BQD65637:BQD65638 BZZ65637:BZZ65638 CJV65637:CJV65638 CTR65637:CTR65638 DDN65637:DDN65638 DNJ65637:DNJ65638 DXF65637:DXF65638 EHB65637:EHB65638 EQX65637:EQX65638 FAT65637:FAT65638 FKP65637:FKP65638 FUL65637:FUL65638 GEH65637:GEH65638 GOD65637:GOD65638 GXZ65637:GXZ65638 HHV65637:HHV65638 HRR65637:HRR65638 IBN65637:IBN65638 ILJ65637:ILJ65638 IVF65637:IVF65638 JFB65637:JFB65638 JOX65637:JOX65638 JYT65637:JYT65638 KIP65637:KIP65638 KSL65637:KSL65638 LCH65637:LCH65638 LMD65637:LMD65638 LVZ65637:LVZ65638 MFV65637:MFV65638 MPR65637:MPR65638 MZN65637:MZN65638 NJJ65637:NJJ65638 NTF65637:NTF65638 ODB65637:ODB65638 OMX65637:OMX65638 OWT65637:OWT65638 PGP65637:PGP65638 PQL65637:PQL65638 QAH65637:QAH65638 QKD65637:QKD65638 QTZ65637:QTZ65638 RDV65637:RDV65638 RNR65637:RNR65638 RXN65637:RXN65638 SHJ65637:SHJ65638 SRF65637:SRF65638 TBB65637:TBB65638 TKX65637:TKX65638 TUT65637:TUT65638 UEP65637:UEP65638 UOL65637:UOL65638 UYH65637:UYH65638 VID65637:VID65638 VRZ65637:VRZ65638 WBV65637:WBV65638 WLR65637:WLR65638 WVN65637:WVN65638 F131173:F131174 JB131173:JB131174 SX131173:SX131174 ACT131173:ACT131174 AMP131173:AMP131174 AWL131173:AWL131174 BGH131173:BGH131174 BQD131173:BQD131174 BZZ131173:BZZ131174 CJV131173:CJV131174 CTR131173:CTR131174 DDN131173:DDN131174 DNJ131173:DNJ131174 DXF131173:DXF131174 EHB131173:EHB131174 EQX131173:EQX131174 FAT131173:FAT131174 FKP131173:FKP131174 FUL131173:FUL131174 GEH131173:GEH131174 GOD131173:GOD131174 GXZ131173:GXZ131174 HHV131173:HHV131174 HRR131173:HRR131174 IBN131173:IBN131174 ILJ131173:ILJ131174 IVF131173:IVF131174 JFB131173:JFB131174 JOX131173:JOX131174 JYT131173:JYT131174 KIP131173:KIP131174 KSL131173:KSL131174 LCH131173:LCH131174 LMD131173:LMD131174 LVZ131173:LVZ131174 MFV131173:MFV131174 MPR131173:MPR131174 MZN131173:MZN131174 NJJ131173:NJJ131174 NTF131173:NTF131174 ODB131173:ODB131174 OMX131173:OMX131174 OWT131173:OWT131174 PGP131173:PGP131174 PQL131173:PQL131174 QAH131173:QAH131174 QKD131173:QKD131174 QTZ131173:QTZ131174 RDV131173:RDV131174 RNR131173:RNR131174 RXN131173:RXN131174 SHJ131173:SHJ131174 SRF131173:SRF131174 TBB131173:TBB131174 TKX131173:TKX131174 TUT131173:TUT131174 UEP131173:UEP131174 UOL131173:UOL131174 UYH131173:UYH131174 VID131173:VID131174 VRZ131173:VRZ131174 WBV131173:WBV131174 WLR131173:WLR131174 WVN131173:WVN131174 F196709:F196710 JB196709:JB196710 SX196709:SX196710 ACT196709:ACT196710 AMP196709:AMP196710 AWL196709:AWL196710 BGH196709:BGH196710 BQD196709:BQD196710 BZZ196709:BZZ196710 CJV196709:CJV196710 CTR196709:CTR196710 DDN196709:DDN196710 DNJ196709:DNJ196710 DXF196709:DXF196710 EHB196709:EHB196710 EQX196709:EQX196710 FAT196709:FAT196710 FKP196709:FKP196710 FUL196709:FUL196710 GEH196709:GEH196710 GOD196709:GOD196710 GXZ196709:GXZ196710 HHV196709:HHV196710 HRR196709:HRR196710 IBN196709:IBN196710 ILJ196709:ILJ196710 IVF196709:IVF196710 JFB196709:JFB196710 JOX196709:JOX196710 JYT196709:JYT196710 KIP196709:KIP196710 KSL196709:KSL196710 LCH196709:LCH196710 LMD196709:LMD196710 LVZ196709:LVZ196710 MFV196709:MFV196710 MPR196709:MPR196710 MZN196709:MZN196710 NJJ196709:NJJ196710 NTF196709:NTF196710 ODB196709:ODB196710 OMX196709:OMX196710 OWT196709:OWT196710 PGP196709:PGP196710 PQL196709:PQL196710 QAH196709:QAH196710 QKD196709:QKD196710 QTZ196709:QTZ196710 RDV196709:RDV196710 RNR196709:RNR196710 RXN196709:RXN196710 SHJ196709:SHJ196710 SRF196709:SRF196710 TBB196709:TBB196710 TKX196709:TKX196710 TUT196709:TUT196710 UEP196709:UEP196710 UOL196709:UOL196710 UYH196709:UYH196710 VID196709:VID196710 VRZ196709:VRZ196710 WBV196709:WBV196710 WLR196709:WLR196710 WVN196709:WVN196710 F262245:F262246 JB262245:JB262246 SX262245:SX262246 ACT262245:ACT262246 AMP262245:AMP262246 AWL262245:AWL262246 BGH262245:BGH262246 BQD262245:BQD262246 BZZ262245:BZZ262246 CJV262245:CJV262246 CTR262245:CTR262246 DDN262245:DDN262246 DNJ262245:DNJ262246 DXF262245:DXF262246 EHB262245:EHB262246 EQX262245:EQX262246 FAT262245:FAT262246 FKP262245:FKP262246 FUL262245:FUL262246 GEH262245:GEH262246 GOD262245:GOD262246 GXZ262245:GXZ262246 HHV262245:HHV262246 HRR262245:HRR262246 IBN262245:IBN262246 ILJ262245:ILJ262246 IVF262245:IVF262246 JFB262245:JFB262246 JOX262245:JOX262246 JYT262245:JYT262246 KIP262245:KIP262246 KSL262245:KSL262246 LCH262245:LCH262246 LMD262245:LMD262246 LVZ262245:LVZ262246 MFV262245:MFV262246 MPR262245:MPR262246 MZN262245:MZN262246 NJJ262245:NJJ262246 NTF262245:NTF262246 ODB262245:ODB262246 OMX262245:OMX262246 OWT262245:OWT262246 PGP262245:PGP262246 PQL262245:PQL262246 QAH262245:QAH262246 QKD262245:QKD262246 QTZ262245:QTZ262246 RDV262245:RDV262246 RNR262245:RNR262246 RXN262245:RXN262246 SHJ262245:SHJ262246 SRF262245:SRF262246 TBB262245:TBB262246 TKX262245:TKX262246 TUT262245:TUT262246 UEP262245:UEP262246 UOL262245:UOL262246 UYH262245:UYH262246 VID262245:VID262246 VRZ262245:VRZ262246 WBV262245:WBV262246 WLR262245:WLR262246 WVN262245:WVN262246 F327781:F327782 JB327781:JB327782 SX327781:SX327782 ACT327781:ACT327782 AMP327781:AMP327782 AWL327781:AWL327782 BGH327781:BGH327782 BQD327781:BQD327782 BZZ327781:BZZ327782 CJV327781:CJV327782 CTR327781:CTR327782 DDN327781:DDN327782 DNJ327781:DNJ327782 DXF327781:DXF327782 EHB327781:EHB327782 EQX327781:EQX327782 FAT327781:FAT327782 FKP327781:FKP327782 FUL327781:FUL327782 GEH327781:GEH327782 GOD327781:GOD327782 GXZ327781:GXZ327782 HHV327781:HHV327782 HRR327781:HRR327782 IBN327781:IBN327782 ILJ327781:ILJ327782 IVF327781:IVF327782 JFB327781:JFB327782 JOX327781:JOX327782 JYT327781:JYT327782 KIP327781:KIP327782 KSL327781:KSL327782 LCH327781:LCH327782 LMD327781:LMD327782 LVZ327781:LVZ327782 MFV327781:MFV327782 MPR327781:MPR327782 MZN327781:MZN327782 NJJ327781:NJJ327782 NTF327781:NTF327782 ODB327781:ODB327782 OMX327781:OMX327782 OWT327781:OWT327782 PGP327781:PGP327782 PQL327781:PQL327782 QAH327781:QAH327782 QKD327781:QKD327782 QTZ327781:QTZ327782 RDV327781:RDV327782 RNR327781:RNR327782 RXN327781:RXN327782 SHJ327781:SHJ327782 SRF327781:SRF327782 TBB327781:TBB327782 TKX327781:TKX327782 TUT327781:TUT327782 UEP327781:UEP327782 UOL327781:UOL327782 UYH327781:UYH327782 VID327781:VID327782 VRZ327781:VRZ327782 WBV327781:WBV327782 WLR327781:WLR327782 WVN327781:WVN327782 F393317:F393318 JB393317:JB393318 SX393317:SX393318 ACT393317:ACT393318 AMP393317:AMP393318 AWL393317:AWL393318 BGH393317:BGH393318 BQD393317:BQD393318 BZZ393317:BZZ393318 CJV393317:CJV393318 CTR393317:CTR393318 DDN393317:DDN393318 DNJ393317:DNJ393318 DXF393317:DXF393318 EHB393317:EHB393318 EQX393317:EQX393318 FAT393317:FAT393318 FKP393317:FKP393318 FUL393317:FUL393318 GEH393317:GEH393318 GOD393317:GOD393318 GXZ393317:GXZ393318 HHV393317:HHV393318 HRR393317:HRR393318 IBN393317:IBN393318 ILJ393317:ILJ393318 IVF393317:IVF393318 JFB393317:JFB393318 JOX393317:JOX393318 JYT393317:JYT393318 KIP393317:KIP393318 KSL393317:KSL393318 LCH393317:LCH393318 LMD393317:LMD393318 LVZ393317:LVZ393318 MFV393317:MFV393318 MPR393317:MPR393318 MZN393317:MZN393318 NJJ393317:NJJ393318 NTF393317:NTF393318 ODB393317:ODB393318 OMX393317:OMX393318 OWT393317:OWT393318 PGP393317:PGP393318 PQL393317:PQL393318 QAH393317:QAH393318 QKD393317:QKD393318 QTZ393317:QTZ393318 RDV393317:RDV393318 RNR393317:RNR393318 RXN393317:RXN393318 SHJ393317:SHJ393318 SRF393317:SRF393318 TBB393317:TBB393318 TKX393317:TKX393318 TUT393317:TUT393318 UEP393317:UEP393318 UOL393317:UOL393318 UYH393317:UYH393318 VID393317:VID393318 VRZ393317:VRZ393318 WBV393317:WBV393318 WLR393317:WLR393318 WVN393317:WVN393318 F458853:F458854 JB458853:JB458854 SX458853:SX458854 ACT458853:ACT458854 AMP458853:AMP458854 AWL458853:AWL458854 BGH458853:BGH458854 BQD458853:BQD458854 BZZ458853:BZZ458854 CJV458853:CJV458854 CTR458853:CTR458854 DDN458853:DDN458854 DNJ458853:DNJ458854 DXF458853:DXF458854 EHB458853:EHB458854 EQX458853:EQX458854 FAT458853:FAT458854 FKP458853:FKP458854 FUL458853:FUL458854 GEH458853:GEH458854 GOD458853:GOD458854 GXZ458853:GXZ458854 HHV458853:HHV458854 HRR458853:HRR458854 IBN458853:IBN458854 ILJ458853:ILJ458854 IVF458853:IVF458854 JFB458853:JFB458854 JOX458853:JOX458854 JYT458853:JYT458854 KIP458853:KIP458854 KSL458853:KSL458854 LCH458853:LCH458854 LMD458853:LMD458854 LVZ458853:LVZ458854 MFV458853:MFV458854 MPR458853:MPR458854 MZN458853:MZN458854 NJJ458853:NJJ458854 NTF458853:NTF458854 ODB458853:ODB458854 OMX458853:OMX458854 OWT458853:OWT458854 PGP458853:PGP458854 PQL458853:PQL458854 QAH458853:QAH458854 QKD458853:QKD458854 QTZ458853:QTZ458854 RDV458853:RDV458854 RNR458853:RNR458854 RXN458853:RXN458854 SHJ458853:SHJ458854 SRF458853:SRF458854 TBB458853:TBB458854 TKX458853:TKX458854 TUT458853:TUT458854 UEP458853:UEP458854 UOL458853:UOL458854 UYH458853:UYH458854 VID458853:VID458854 VRZ458853:VRZ458854 WBV458853:WBV458854 WLR458853:WLR458854 WVN458853:WVN458854 F524389:F524390 JB524389:JB524390 SX524389:SX524390 ACT524389:ACT524390 AMP524389:AMP524390 AWL524389:AWL524390 BGH524389:BGH524390 BQD524389:BQD524390 BZZ524389:BZZ524390 CJV524389:CJV524390 CTR524389:CTR524390 DDN524389:DDN524390 DNJ524389:DNJ524390 DXF524389:DXF524390 EHB524389:EHB524390 EQX524389:EQX524390 FAT524389:FAT524390 FKP524389:FKP524390 FUL524389:FUL524390 GEH524389:GEH524390 GOD524389:GOD524390 GXZ524389:GXZ524390 HHV524389:HHV524390 HRR524389:HRR524390 IBN524389:IBN524390 ILJ524389:ILJ524390 IVF524389:IVF524390 JFB524389:JFB524390 JOX524389:JOX524390 JYT524389:JYT524390 KIP524389:KIP524390 KSL524389:KSL524390 LCH524389:LCH524390 LMD524389:LMD524390 LVZ524389:LVZ524390 MFV524389:MFV524390 MPR524389:MPR524390 MZN524389:MZN524390 NJJ524389:NJJ524390 NTF524389:NTF524390 ODB524389:ODB524390 OMX524389:OMX524390 OWT524389:OWT524390 PGP524389:PGP524390 PQL524389:PQL524390 QAH524389:QAH524390 QKD524389:QKD524390 QTZ524389:QTZ524390 RDV524389:RDV524390 RNR524389:RNR524390 RXN524389:RXN524390 SHJ524389:SHJ524390 SRF524389:SRF524390 TBB524389:TBB524390 TKX524389:TKX524390 TUT524389:TUT524390 UEP524389:UEP524390 UOL524389:UOL524390 UYH524389:UYH524390 VID524389:VID524390 VRZ524389:VRZ524390 WBV524389:WBV524390 WLR524389:WLR524390 WVN524389:WVN524390 F589925:F589926 JB589925:JB589926 SX589925:SX589926 ACT589925:ACT589926 AMP589925:AMP589926 AWL589925:AWL589926 BGH589925:BGH589926 BQD589925:BQD589926 BZZ589925:BZZ589926 CJV589925:CJV589926 CTR589925:CTR589926 DDN589925:DDN589926 DNJ589925:DNJ589926 DXF589925:DXF589926 EHB589925:EHB589926 EQX589925:EQX589926 FAT589925:FAT589926 FKP589925:FKP589926 FUL589925:FUL589926 GEH589925:GEH589926 GOD589925:GOD589926 GXZ589925:GXZ589926 HHV589925:HHV589926 HRR589925:HRR589926 IBN589925:IBN589926 ILJ589925:ILJ589926 IVF589925:IVF589926 JFB589925:JFB589926 JOX589925:JOX589926 JYT589925:JYT589926 KIP589925:KIP589926 KSL589925:KSL589926 LCH589925:LCH589926 LMD589925:LMD589926 LVZ589925:LVZ589926 MFV589925:MFV589926 MPR589925:MPR589926 MZN589925:MZN589926 NJJ589925:NJJ589926 NTF589925:NTF589926 ODB589925:ODB589926 OMX589925:OMX589926 OWT589925:OWT589926 PGP589925:PGP589926 PQL589925:PQL589926 QAH589925:QAH589926 QKD589925:QKD589926 QTZ589925:QTZ589926 RDV589925:RDV589926 RNR589925:RNR589926 RXN589925:RXN589926 SHJ589925:SHJ589926 SRF589925:SRF589926 TBB589925:TBB589926 TKX589925:TKX589926 TUT589925:TUT589926 UEP589925:UEP589926 UOL589925:UOL589926 UYH589925:UYH589926 VID589925:VID589926 VRZ589925:VRZ589926 WBV589925:WBV589926 WLR589925:WLR589926 WVN589925:WVN589926 F655461:F655462 JB655461:JB655462 SX655461:SX655462 ACT655461:ACT655462 AMP655461:AMP655462 AWL655461:AWL655462 BGH655461:BGH655462 BQD655461:BQD655462 BZZ655461:BZZ655462 CJV655461:CJV655462 CTR655461:CTR655462 DDN655461:DDN655462 DNJ655461:DNJ655462 DXF655461:DXF655462 EHB655461:EHB655462 EQX655461:EQX655462 FAT655461:FAT655462 FKP655461:FKP655462 FUL655461:FUL655462 GEH655461:GEH655462 GOD655461:GOD655462 GXZ655461:GXZ655462 HHV655461:HHV655462 HRR655461:HRR655462 IBN655461:IBN655462 ILJ655461:ILJ655462 IVF655461:IVF655462 JFB655461:JFB655462 JOX655461:JOX655462 JYT655461:JYT655462 KIP655461:KIP655462 KSL655461:KSL655462 LCH655461:LCH655462 LMD655461:LMD655462 LVZ655461:LVZ655462 MFV655461:MFV655462 MPR655461:MPR655462 MZN655461:MZN655462 NJJ655461:NJJ655462 NTF655461:NTF655462 ODB655461:ODB655462 OMX655461:OMX655462 OWT655461:OWT655462 PGP655461:PGP655462 PQL655461:PQL655462 QAH655461:QAH655462 QKD655461:QKD655462 QTZ655461:QTZ655462 RDV655461:RDV655462 RNR655461:RNR655462 RXN655461:RXN655462 SHJ655461:SHJ655462 SRF655461:SRF655462 TBB655461:TBB655462 TKX655461:TKX655462 TUT655461:TUT655462 UEP655461:UEP655462 UOL655461:UOL655462 UYH655461:UYH655462 VID655461:VID655462 VRZ655461:VRZ655462 WBV655461:WBV655462 WLR655461:WLR655462 WVN655461:WVN655462 F720997:F720998 JB720997:JB720998 SX720997:SX720998 ACT720997:ACT720998 AMP720997:AMP720998 AWL720997:AWL720998 BGH720997:BGH720998 BQD720997:BQD720998 BZZ720997:BZZ720998 CJV720997:CJV720998 CTR720997:CTR720998 DDN720997:DDN720998 DNJ720997:DNJ720998 DXF720997:DXF720998 EHB720997:EHB720998 EQX720997:EQX720998 FAT720997:FAT720998 FKP720997:FKP720998 FUL720997:FUL720998 GEH720997:GEH720998 GOD720997:GOD720998 GXZ720997:GXZ720998 HHV720997:HHV720998 HRR720997:HRR720998 IBN720997:IBN720998 ILJ720997:ILJ720998 IVF720997:IVF720998 JFB720997:JFB720998 JOX720997:JOX720998 JYT720997:JYT720998 KIP720997:KIP720998 KSL720997:KSL720998 LCH720997:LCH720998 LMD720997:LMD720998 LVZ720997:LVZ720998 MFV720997:MFV720998 MPR720997:MPR720998 MZN720997:MZN720998 NJJ720997:NJJ720998 NTF720997:NTF720998 ODB720997:ODB720998 OMX720997:OMX720998 OWT720997:OWT720998 PGP720997:PGP720998 PQL720997:PQL720998 QAH720997:QAH720998 QKD720997:QKD720998 QTZ720997:QTZ720998 RDV720997:RDV720998 RNR720997:RNR720998 RXN720997:RXN720998 SHJ720997:SHJ720998 SRF720997:SRF720998 TBB720997:TBB720998 TKX720997:TKX720998 TUT720997:TUT720998 UEP720997:UEP720998 UOL720997:UOL720998 UYH720997:UYH720998 VID720997:VID720998 VRZ720997:VRZ720998 WBV720997:WBV720998 WLR720997:WLR720998 WVN720997:WVN720998 F786533:F786534 JB786533:JB786534 SX786533:SX786534 ACT786533:ACT786534 AMP786533:AMP786534 AWL786533:AWL786534 BGH786533:BGH786534 BQD786533:BQD786534 BZZ786533:BZZ786534 CJV786533:CJV786534 CTR786533:CTR786534 DDN786533:DDN786534 DNJ786533:DNJ786534 DXF786533:DXF786534 EHB786533:EHB786534 EQX786533:EQX786534 FAT786533:FAT786534 FKP786533:FKP786534 FUL786533:FUL786534 GEH786533:GEH786534 GOD786533:GOD786534 GXZ786533:GXZ786534 HHV786533:HHV786534 HRR786533:HRR786534 IBN786533:IBN786534 ILJ786533:ILJ786534 IVF786533:IVF786534 JFB786533:JFB786534 JOX786533:JOX786534 JYT786533:JYT786534 KIP786533:KIP786534 KSL786533:KSL786534 LCH786533:LCH786534 LMD786533:LMD786534 LVZ786533:LVZ786534 MFV786533:MFV786534 MPR786533:MPR786534 MZN786533:MZN786534 NJJ786533:NJJ786534 NTF786533:NTF786534 ODB786533:ODB786534 OMX786533:OMX786534 OWT786533:OWT786534 PGP786533:PGP786534 PQL786533:PQL786534 QAH786533:QAH786534 QKD786533:QKD786534 QTZ786533:QTZ786534 RDV786533:RDV786534 RNR786533:RNR786534 RXN786533:RXN786534 SHJ786533:SHJ786534 SRF786533:SRF786534 TBB786533:TBB786534 TKX786533:TKX786534 TUT786533:TUT786534 UEP786533:UEP786534 UOL786533:UOL786534 UYH786533:UYH786534 VID786533:VID786534 VRZ786533:VRZ786534 WBV786533:WBV786534 WLR786533:WLR786534 WVN786533:WVN786534 F852069:F852070 JB852069:JB852070 SX852069:SX852070 ACT852069:ACT852070 AMP852069:AMP852070 AWL852069:AWL852070 BGH852069:BGH852070 BQD852069:BQD852070 BZZ852069:BZZ852070 CJV852069:CJV852070 CTR852069:CTR852070 DDN852069:DDN852070 DNJ852069:DNJ852070 DXF852069:DXF852070 EHB852069:EHB852070 EQX852069:EQX852070 FAT852069:FAT852070 FKP852069:FKP852070 FUL852069:FUL852070 GEH852069:GEH852070 GOD852069:GOD852070 GXZ852069:GXZ852070 HHV852069:HHV852070 HRR852069:HRR852070 IBN852069:IBN852070 ILJ852069:ILJ852070 IVF852069:IVF852070 JFB852069:JFB852070 JOX852069:JOX852070 JYT852069:JYT852070 KIP852069:KIP852070 KSL852069:KSL852070 LCH852069:LCH852070 LMD852069:LMD852070 LVZ852069:LVZ852070 MFV852069:MFV852070 MPR852069:MPR852070 MZN852069:MZN852070 NJJ852069:NJJ852070 NTF852069:NTF852070 ODB852069:ODB852070 OMX852069:OMX852070 OWT852069:OWT852070 PGP852069:PGP852070 PQL852069:PQL852070 QAH852069:QAH852070 QKD852069:QKD852070 QTZ852069:QTZ852070 RDV852069:RDV852070 RNR852069:RNR852070 RXN852069:RXN852070 SHJ852069:SHJ852070 SRF852069:SRF852070 TBB852069:TBB852070 TKX852069:TKX852070 TUT852069:TUT852070 UEP852069:UEP852070 UOL852069:UOL852070 UYH852069:UYH852070 VID852069:VID852070 VRZ852069:VRZ852070 WBV852069:WBV852070 WLR852069:WLR852070 WVN852069:WVN852070 F917605:F917606 JB917605:JB917606 SX917605:SX917606 ACT917605:ACT917606 AMP917605:AMP917606 AWL917605:AWL917606 BGH917605:BGH917606 BQD917605:BQD917606 BZZ917605:BZZ917606 CJV917605:CJV917606 CTR917605:CTR917606 DDN917605:DDN917606 DNJ917605:DNJ917606 DXF917605:DXF917606 EHB917605:EHB917606 EQX917605:EQX917606 FAT917605:FAT917606 FKP917605:FKP917606 FUL917605:FUL917606 GEH917605:GEH917606 GOD917605:GOD917606 GXZ917605:GXZ917606 HHV917605:HHV917606 HRR917605:HRR917606 IBN917605:IBN917606 ILJ917605:ILJ917606 IVF917605:IVF917606 JFB917605:JFB917606 JOX917605:JOX917606 JYT917605:JYT917606 KIP917605:KIP917606 KSL917605:KSL917606 LCH917605:LCH917606 LMD917605:LMD917606 LVZ917605:LVZ917606 MFV917605:MFV917606 MPR917605:MPR917606 MZN917605:MZN917606 NJJ917605:NJJ917606 NTF917605:NTF917606 ODB917605:ODB917606 OMX917605:OMX917606 OWT917605:OWT917606 PGP917605:PGP917606 PQL917605:PQL917606 QAH917605:QAH917606 QKD917605:QKD917606 QTZ917605:QTZ917606 RDV917605:RDV917606 RNR917605:RNR917606 RXN917605:RXN917606 SHJ917605:SHJ917606 SRF917605:SRF917606 TBB917605:TBB917606 TKX917605:TKX917606 TUT917605:TUT917606 UEP917605:UEP917606 UOL917605:UOL917606 UYH917605:UYH917606 VID917605:VID917606 VRZ917605:VRZ917606 WBV917605:WBV917606 WLR917605:WLR917606 WVN917605:WVN917606 F983141:F983142 JB983141:JB983142 SX983141:SX983142 ACT983141:ACT983142 AMP983141:AMP983142 AWL983141:AWL983142 BGH983141:BGH983142 BQD983141:BQD983142 BZZ983141:BZZ983142 CJV983141:CJV983142 CTR983141:CTR983142 DDN983141:DDN983142 DNJ983141:DNJ983142 DXF983141:DXF983142 EHB983141:EHB983142 EQX983141:EQX983142 FAT983141:FAT983142 FKP983141:FKP983142 FUL983141:FUL983142 GEH983141:GEH983142 GOD983141:GOD983142 GXZ983141:GXZ983142 HHV983141:HHV983142 HRR983141:HRR983142 IBN983141:IBN983142 ILJ983141:ILJ983142 IVF983141:IVF983142 JFB983141:JFB983142 JOX983141:JOX983142 JYT983141:JYT983142 KIP983141:KIP983142 KSL983141:KSL983142 LCH983141:LCH983142 LMD983141:LMD983142 LVZ983141:LVZ983142 MFV983141:MFV983142 MPR983141:MPR983142 MZN983141:MZN983142 NJJ983141:NJJ983142 NTF983141:NTF983142 ODB983141:ODB983142 OMX983141:OMX983142 OWT983141:OWT983142 PGP983141:PGP983142 PQL983141:PQL983142 QAH983141:QAH983142 QKD983141:QKD983142 QTZ983141:QTZ983142 RDV983141:RDV983142 RNR983141:RNR983142 RXN983141:RXN983142 SHJ983141:SHJ983142 SRF983141:SRF983142 TBB983141:TBB983142 TKX983141:TKX983142 TUT983141:TUT983142 UEP983141:UEP983142 UOL983141:UOL983142 UYH983141:UYH983142 VID983141:VID983142 VRZ983141:VRZ983142 WBV983141:WBV983142 WLR983141:WLR983142 WVN983141:WVN983142 ERG71:ERG77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L65637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L131173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L196709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L262245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L327781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L393317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L458853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L524389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L589925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L655461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L720997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L786533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L852069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L917605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L983141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EHK71:EHK77 JL102:JL103 TH102:TH103 ADD102:ADD103 AMZ102:AMZ103 AWV102:AWV103 BGR102:BGR103 BQN102:BQN103 CAJ102:CAJ103 CKF102:CKF103 CUB102:CUB103 DDX102:DDX103 DNT102:DNT103 DXP102:DXP103 EHL102:EHL103 ERH102:ERH103 FBD102:FBD103 FKZ102:FKZ103 FUV102:FUV103 GER102:GER103 GON102:GON103 GYJ102:GYJ103 HIF102:HIF103 HSB102:HSB103 IBX102:IBX103 ILT102:ILT103 IVP102:IVP103 JFL102:JFL103 JPH102:JPH103 JZD102:JZD103 KIZ102:KIZ103 KSV102:KSV103 LCR102:LCR103 LMN102:LMN103 LWJ102:LWJ103 MGF102:MGF103 MQB102:MQB103 MZX102:MZX103 NJT102:NJT103 NTP102:NTP103 ODL102:ODL103 ONH102:ONH103 OXD102:OXD103 PGZ102:PGZ103 PQV102:PQV103 QAR102:QAR103 QKN102:QKN103 QUJ102:QUJ103 REF102:REF103 ROB102:ROB103 RXX102:RXX103 SHT102:SHT103 SRP102:SRP103 TBL102:TBL103 TLH102:TLH103 TVD102:TVD103 UEZ102:UEZ103 UOV102:UOV103 UYR102:UYR103 VIN102:VIN103 VSJ102:VSJ103 WCF102:WCF103 WMB102:WMB103 WVX102:WVX103 P65637:P65638 JL65637:JL65638 TH65637:TH65638 ADD65637:ADD65638 AMZ65637:AMZ65638 AWV65637:AWV65638 BGR65637:BGR65638 BQN65637:BQN65638 CAJ65637:CAJ65638 CKF65637:CKF65638 CUB65637:CUB65638 DDX65637:DDX65638 DNT65637:DNT65638 DXP65637:DXP65638 EHL65637:EHL65638 ERH65637:ERH65638 FBD65637:FBD65638 FKZ65637:FKZ65638 FUV65637:FUV65638 GER65637:GER65638 GON65637:GON65638 GYJ65637:GYJ65638 HIF65637:HIF65638 HSB65637:HSB65638 IBX65637:IBX65638 ILT65637:ILT65638 IVP65637:IVP65638 JFL65637:JFL65638 JPH65637:JPH65638 JZD65637:JZD65638 KIZ65637:KIZ65638 KSV65637:KSV65638 LCR65637:LCR65638 LMN65637:LMN65638 LWJ65637:LWJ65638 MGF65637:MGF65638 MQB65637:MQB65638 MZX65637:MZX65638 NJT65637:NJT65638 NTP65637:NTP65638 ODL65637:ODL65638 ONH65637:ONH65638 OXD65637:OXD65638 PGZ65637:PGZ65638 PQV65637:PQV65638 QAR65637:QAR65638 QKN65637:QKN65638 QUJ65637:QUJ65638 REF65637:REF65638 ROB65637:ROB65638 RXX65637:RXX65638 SHT65637:SHT65638 SRP65637:SRP65638 TBL65637:TBL65638 TLH65637:TLH65638 TVD65637:TVD65638 UEZ65637:UEZ65638 UOV65637:UOV65638 UYR65637:UYR65638 VIN65637:VIN65638 VSJ65637:VSJ65638 WCF65637:WCF65638 WMB65637:WMB65638 WVX65637:WVX65638 P131173:P131174 JL131173:JL131174 TH131173:TH131174 ADD131173:ADD131174 AMZ131173:AMZ131174 AWV131173:AWV131174 BGR131173:BGR131174 BQN131173:BQN131174 CAJ131173:CAJ131174 CKF131173:CKF131174 CUB131173:CUB131174 DDX131173:DDX131174 DNT131173:DNT131174 DXP131173:DXP131174 EHL131173:EHL131174 ERH131173:ERH131174 FBD131173:FBD131174 FKZ131173:FKZ131174 FUV131173:FUV131174 GER131173:GER131174 GON131173:GON131174 GYJ131173:GYJ131174 HIF131173:HIF131174 HSB131173:HSB131174 IBX131173:IBX131174 ILT131173:ILT131174 IVP131173:IVP131174 JFL131173:JFL131174 JPH131173:JPH131174 JZD131173:JZD131174 KIZ131173:KIZ131174 KSV131173:KSV131174 LCR131173:LCR131174 LMN131173:LMN131174 LWJ131173:LWJ131174 MGF131173:MGF131174 MQB131173:MQB131174 MZX131173:MZX131174 NJT131173:NJT131174 NTP131173:NTP131174 ODL131173:ODL131174 ONH131173:ONH131174 OXD131173:OXD131174 PGZ131173:PGZ131174 PQV131173:PQV131174 QAR131173:QAR131174 QKN131173:QKN131174 QUJ131173:QUJ131174 REF131173:REF131174 ROB131173:ROB131174 RXX131173:RXX131174 SHT131173:SHT131174 SRP131173:SRP131174 TBL131173:TBL131174 TLH131173:TLH131174 TVD131173:TVD131174 UEZ131173:UEZ131174 UOV131173:UOV131174 UYR131173:UYR131174 VIN131173:VIN131174 VSJ131173:VSJ131174 WCF131173:WCF131174 WMB131173:WMB131174 WVX131173:WVX131174 P196709:P196710 JL196709:JL196710 TH196709:TH196710 ADD196709:ADD196710 AMZ196709:AMZ196710 AWV196709:AWV196710 BGR196709:BGR196710 BQN196709:BQN196710 CAJ196709:CAJ196710 CKF196709:CKF196710 CUB196709:CUB196710 DDX196709:DDX196710 DNT196709:DNT196710 DXP196709:DXP196710 EHL196709:EHL196710 ERH196709:ERH196710 FBD196709:FBD196710 FKZ196709:FKZ196710 FUV196709:FUV196710 GER196709:GER196710 GON196709:GON196710 GYJ196709:GYJ196710 HIF196709:HIF196710 HSB196709:HSB196710 IBX196709:IBX196710 ILT196709:ILT196710 IVP196709:IVP196710 JFL196709:JFL196710 JPH196709:JPH196710 JZD196709:JZD196710 KIZ196709:KIZ196710 KSV196709:KSV196710 LCR196709:LCR196710 LMN196709:LMN196710 LWJ196709:LWJ196710 MGF196709:MGF196710 MQB196709:MQB196710 MZX196709:MZX196710 NJT196709:NJT196710 NTP196709:NTP196710 ODL196709:ODL196710 ONH196709:ONH196710 OXD196709:OXD196710 PGZ196709:PGZ196710 PQV196709:PQV196710 QAR196709:QAR196710 QKN196709:QKN196710 QUJ196709:QUJ196710 REF196709:REF196710 ROB196709:ROB196710 RXX196709:RXX196710 SHT196709:SHT196710 SRP196709:SRP196710 TBL196709:TBL196710 TLH196709:TLH196710 TVD196709:TVD196710 UEZ196709:UEZ196710 UOV196709:UOV196710 UYR196709:UYR196710 VIN196709:VIN196710 VSJ196709:VSJ196710 WCF196709:WCF196710 WMB196709:WMB196710 WVX196709:WVX196710 P262245:P262246 JL262245:JL262246 TH262245:TH262246 ADD262245:ADD262246 AMZ262245:AMZ262246 AWV262245:AWV262246 BGR262245:BGR262246 BQN262245:BQN262246 CAJ262245:CAJ262246 CKF262245:CKF262246 CUB262245:CUB262246 DDX262245:DDX262246 DNT262245:DNT262246 DXP262245:DXP262246 EHL262245:EHL262246 ERH262245:ERH262246 FBD262245:FBD262246 FKZ262245:FKZ262246 FUV262245:FUV262246 GER262245:GER262246 GON262245:GON262246 GYJ262245:GYJ262246 HIF262245:HIF262246 HSB262245:HSB262246 IBX262245:IBX262246 ILT262245:ILT262246 IVP262245:IVP262246 JFL262245:JFL262246 JPH262245:JPH262246 JZD262245:JZD262246 KIZ262245:KIZ262246 KSV262245:KSV262246 LCR262245:LCR262246 LMN262245:LMN262246 LWJ262245:LWJ262246 MGF262245:MGF262246 MQB262245:MQB262246 MZX262245:MZX262246 NJT262245:NJT262246 NTP262245:NTP262246 ODL262245:ODL262246 ONH262245:ONH262246 OXD262245:OXD262246 PGZ262245:PGZ262246 PQV262245:PQV262246 QAR262245:QAR262246 QKN262245:QKN262246 QUJ262245:QUJ262246 REF262245:REF262246 ROB262245:ROB262246 RXX262245:RXX262246 SHT262245:SHT262246 SRP262245:SRP262246 TBL262245:TBL262246 TLH262245:TLH262246 TVD262245:TVD262246 UEZ262245:UEZ262246 UOV262245:UOV262246 UYR262245:UYR262246 VIN262245:VIN262246 VSJ262245:VSJ262246 WCF262245:WCF262246 WMB262245:WMB262246 WVX262245:WVX262246 P327781:P327782 JL327781:JL327782 TH327781:TH327782 ADD327781:ADD327782 AMZ327781:AMZ327782 AWV327781:AWV327782 BGR327781:BGR327782 BQN327781:BQN327782 CAJ327781:CAJ327782 CKF327781:CKF327782 CUB327781:CUB327782 DDX327781:DDX327782 DNT327781:DNT327782 DXP327781:DXP327782 EHL327781:EHL327782 ERH327781:ERH327782 FBD327781:FBD327782 FKZ327781:FKZ327782 FUV327781:FUV327782 GER327781:GER327782 GON327781:GON327782 GYJ327781:GYJ327782 HIF327781:HIF327782 HSB327781:HSB327782 IBX327781:IBX327782 ILT327781:ILT327782 IVP327781:IVP327782 JFL327781:JFL327782 JPH327781:JPH327782 JZD327781:JZD327782 KIZ327781:KIZ327782 KSV327781:KSV327782 LCR327781:LCR327782 LMN327781:LMN327782 LWJ327781:LWJ327782 MGF327781:MGF327782 MQB327781:MQB327782 MZX327781:MZX327782 NJT327781:NJT327782 NTP327781:NTP327782 ODL327781:ODL327782 ONH327781:ONH327782 OXD327781:OXD327782 PGZ327781:PGZ327782 PQV327781:PQV327782 QAR327781:QAR327782 QKN327781:QKN327782 QUJ327781:QUJ327782 REF327781:REF327782 ROB327781:ROB327782 RXX327781:RXX327782 SHT327781:SHT327782 SRP327781:SRP327782 TBL327781:TBL327782 TLH327781:TLH327782 TVD327781:TVD327782 UEZ327781:UEZ327782 UOV327781:UOV327782 UYR327781:UYR327782 VIN327781:VIN327782 VSJ327781:VSJ327782 WCF327781:WCF327782 WMB327781:WMB327782 WVX327781:WVX327782 P393317:P393318 JL393317:JL393318 TH393317:TH393318 ADD393317:ADD393318 AMZ393317:AMZ393318 AWV393317:AWV393318 BGR393317:BGR393318 BQN393317:BQN393318 CAJ393317:CAJ393318 CKF393317:CKF393318 CUB393317:CUB393318 DDX393317:DDX393318 DNT393317:DNT393318 DXP393317:DXP393318 EHL393317:EHL393318 ERH393317:ERH393318 FBD393317:FBD393318 FKZ393317:FKZ393318 FUV393317:FUV393318 GER393317:GER393318 GON393317:GON393318 GYJ393317:GYJ393318 HIF393317:HIF393318 HSB393317:HSB393318 IBX393317:IBX393318 ILT393317:ILT393318 IVP393317:IVP393318 JFL393317:JFL393318 JPH393317:JPH393318 JZD393317:JZD393318 KIZ393317:KIZ393318 KSV393317:KSV393318 LCR393317:LCR393318 LMN393317:LMN393318 LWJ393317:LWJ393318 MGF393317:MGF393318 MQB393317:MQB393318 MZX393317:MZX393318 NJT393317:NJT393318 NTP393317:NTP393318 ODL393317:ODL393318 ONH393317:ONH393318 OXD393317:OXD393318 PGZ393317:PGZ393318 PQV393317:PQV393318 QAR393317:QAR393318 QKN393317:QKN393318 QUJ393317:QUJ393318 REF393317:REF393318 ROB393317:ROB393318 RXX393317:RXX393318 SHT393317:SHT393318 SRP393317:SRP393318 TBL393317:TBL393318 TLH393317:TLH393318 TVD393317:TVD393318 UEZ393317:UEZ393318 UOV393317:UOV393318 UYR393317:UYR393318 VIN393317:VIN393318 VSJ393317:VSJ393318 WCF393317:WCF393318 WMB393317:WMB393318 WVX393317:WVX393318 P458853:P458854 JL458853:JL458854 TH458853:TH458854 ADD458853:ADD458854 AMZ458853:AMZ458854 AWV458853:AWV458854 BGR458853:BGR458854 BQN458853:BQN458854 CAJ458853:CAJ458854 CKF458853:CKF458854 CUB458853:CUB458854 DDX458853:DDX458854 DNT458853:DNT458854 DXP458853:DXP458854 EHL458853:EHL458854 ERH458853:ERH458854 FBD458853:FBD458854 FKZ458853:FKZ458854 FUV458853:FUV458854 GER458853:GER458854 GON458853:GON458854 GYJ458853:GYJ458854 HIF458853:HIF458854 HSB458853:HSB458854 IBX458853:IBX458854 ILT458853:ILT458854 IVP458853:IVP458854 JFL458853:JFL458854 JPH458853:JPH458854 JZD458853:JZD458854 KIZ458853:KIZ458854 KSV458853:KSV458854 LCR458853:LCR458854 LMN458853:LMN458854 LWJ458853:LWJ458854 MGF458853:MGF458854 MQB458853:MQB458854 MZX458853:MZX458854 NJT458853:NJT458854 NTP458853:NTP458854 ODL458853:ODL458854 ONH458853:ONH458854 OXD458853:OXD458854 PGZ458853:PGZ458854 PQV458853:PQV458854 QAR458853:QAR458854 QKN458853:QKN458854 QUJ458853:QUJ458854 REF458853:REF458854 ROB458853:ROB458854 RXX458853:RXX458854 SHT458853:SHT458854 SRP458853:SRP458854 TBL458853:TBL458854 TLH458853:TLH458854 TVD458853:TVD458854 UEZ458853:UEZ458854 UOV458853:UOV458854 UYR458853:UYR458854 VIN458853:VIN458854 VSJ458853:VSJ458854 WCF458853:WCF458854 WMB458853:WMB458854 WVX458853:WVX458854 P524389:P524390 JL524389:JL524390 TH524389:TH524390 ADD524389:ADD524390 AMZ524389:AMZ524390 AWV524389:AWV524390 BGR524389:BGR524390 BQN524389:BQN524390 CAJ524389:CAJ524390 CKF524389:CKF524390 CUB524389:CUB524390 DDX524389:DDX524390 DNT524389:DNT524390 DXP524389:DXP524390 EHL524389:EHL524390 ERH524389:ERH524390 FBD524389:FBD524390 FKZ524389:FKZ524390 FUV524389:FUV524390 GER524389:GER524390 GON524389:GON524390 GYJ524389:GYJ524390 HIF524389:HIF524390 HSB524389:HSB524390 IBX524389:IBX524390 ILT524389:ILT524390 IVP524389:IVP524390 JFL524389:JFL524390 JPH524389:JPH524390 JZD524389:JZD524390 KIZ524389:KIZ524390 KSV524389:KSV524390 LCR524389:LCR524390 LMN524389:LMN524390 LWJ524389:LWJ524390 MGF524389:MGF524390 MQB524389:MQB524390 MZX524389:MZX524390 NJT524389:NJT524390 NTP524389:NTP524390 ODL524389:ODL524390 ONH524389:ONH524390 OXD524389:OXD524390 PGZ524389:PGZ524390 PQV524389:PQV524390 QAR524389:QAR524390 QKN524389:QKN524390 QUJ524389:QUJ524390 REF524389:REF524390 ROB524389:ROB524390 RXX524389:RXX524390 SHT524389:SHT524390 SRP524389:SRP524390 TBL524389:TBL524390 TLH524389:TLH524390 TVD524389:TVD524390 UEZ524389:UEZ524390 UOV524389:UOV524390 UYR524389:UYR524390 VIN524389:VIN524390 VSJ524389:VSJ524390 WCF524389:WCF524390 WMB524389:WMB524390 WVX524389:WVX524390 P589925:P589926 JL589925:JL589926 TH589925:TH589926 ADD589925:ADD589926 AMZ589925:AMZ589926 AWV589925:AWV589926 BGR589925:BGR589926 BQN589925:BQN589926 CAJ589925:CAJ589926 CKF589925:CKF589926 CUB589925:CUB589926 DDX589925:DDX589926 DNT589925:DNT589926 DXP589925:DXP589926 EHL589925:EHL589926 ERH589925:ERH589926 FBD589925:FBD589926 FKZ589925:FKZ589926 FUV589925:FUV589926 GER589925:GER589926 GON589925:GON589926 GYJ589925:GYJ589926 HIF589925:HIF589926 HSB589925:HSB589926 IBX589925:IBX589926 ILT589925:ILT589926 IVP589925:IVP589926 JFL589925:JFL589926 JPH589925:JPH589926 JZD589925:JZD589926 KIZ589925:KIZ589926 KSV589925:KSV589926 LCR589925:LCR589926 LMN589925:LMN589926 LWJ589925:LWJ589926 MGF589925:MGF589926 MQB589925:MQB589926 MZX589925:MZX589926 NJT589925:NJT589926 NTP589925:NTP589926 ODL589925:ODL589926 ONH589925:ONH589926 OXD589925:OXD589926 PGZ589925:PGZ589926 PQV589925:PQV589926 QAR589925:QAR589926 QKN589925:QKN589926 QUJ589925:QUJ589926 REF589925:REF589926 ROB589925:ROB589926 RXX589925:RXX589926 SHT589925:SHT589926 SRP589925:SRP589926 TBL589925:TBL589926 TLH589925:TLH589926 TVD589925:TVD589926 UEZ589925:UEZ589926 UOV589925:UOV589926 UYR589925:UYR589926 VIN589925:VIN589926 VSJ589925:VSJ589926 WCF589925:WCF589926 WMB589925:WMB589926 WVX589925:WVX589926 P655461:P655462 JL655461:JL655462 TH655461:TH655462 ADD655461:ADD655462 AMZ655461:AMZ655462 AWV655461:AWV655462 BGR655461:BGR655462 BQN655461:BQN655462 CAJ655461:CAJ655462 CKF655461:CKF655462 CUB655461:CUB655462 DDX655461:DDX655462 DNT655461:DNT655462 DXP655461:DXP655462 EHL655461:EHL655462 ERH655461:ERH655462 FBD655461:FBD655462 FKZ655461:FKZ655462 FUV655461:FUV655462 GER655461:GER655462 GON655461:GON655462 GYJ655461:GYJ655462 HIF655461:HIF655462 HSB655461:HSB655462 IBX655461:IBX655462 ILT655461:ILT655462 IVP655461:IVP655462 JFL655461:JFL655462 JPH655461:JPH655462 JZD655461:JZD655462 KIZ655461:KIZ655462 KSV655461:KSV655462 LCR655461:LCR655462 LMN655461:LMN655462 LWJ655461:LWJ655462 MGF655461:MGF655462 MQB655461:MQB655462 MZX655461:MZX655462 NJT655461:NJT655462 NTP655461:NTP655462 ODL655461:ODL655462 ONH655461:ONH655462 OXD655461:OXD655462 PGZ655461:PGZ655462 PQV655461:PQV655462 QAR655461:QAR655462 QKN655461:QKN655462 QUJ655461:QUJ655462 REF655461:REF655462 ROB655461:ROB655462 RXX655461:RXX655462 SHT655461:SHT655462 SRP655461:SRP655462 TBL655461:TBL655462 TLH655461:TLH655462 TVD655461:TVD655462 UEZ655461:UEZ655462 UOV655461:UOV655462 UYR655461:UYR655462 VIN655461:VIN655462 VSJ655461:VSJ655462 WCF655461:WCF655462 WMB655461:WMB655462 WVX655461:WVX655462 P720997:P720998 JL720997:JL720998 TH720997:TH720998 ADD720997:ADD720998 AMZ720997:AMZ720998 AWV720997:AWV720998 BGR720997:BGR720998 BQN720997:BQN720998 CAJ720997:CAJ720998 CKF720997:CKF720998 CUB720997:CUB720998 DDX720997:DDX720998 DNT720997:DNT720998 DXP720997:DXP720998 EHL720997:EHL720998 ERH720997:ERH720998 FBD720997:FBD720998 FKZ720997:FKZ720998 FUV720997:FUV720998 GER720997:GER720998 GON720997:GON720998 GYJ720997:GYJ720998 HIF720997:HIF720998 HSB720997:HSB720998 IBX720997:IBX720998 ILT720997:ILT720998 IVP720997:IVP720998 JFL720997:JFL720998 JPH720997:JPH720998 JZD720997:JZD720998 KIZ720997:KIZ720998 KSV720997:KSV720998 LCR720997:LCR720998 LMN720997:LMN720998 LWJ720997:LWJ720998 MGF720997:MGF720998 MQB720997:MQB720998 MZX720997:MZX720998 NJT720997:NJT720998 NTP720997:NTP720998 ODL720997:ODL720998 ONH720997:ONH720998 OXD720997:OXD720998 PGZ720997:PGZ720998 PQV720997:PQV720998 QAR720997:QAR720998 QKN720997:QKN720998 QUJ720997:QUJ720998 REF720997:REF720998 ROB720997:ROB720998 RXX720997:RXX720998 SHT720997:SHT720998 SRP720997:SRP720998 TBL720997:TBL720998 TLH720997:TLH720998 TVD720997:TVD720998 UEZ720997:UEZ720998 UOV720997:UOV720998 UYR720997:UYR720998 VIN720997:VIN720998 VSJ720997:VSJ720998 WCF720997:WCF720998 WMB720997:WMB720998 WVX720997:WVX720998 P786533:P786534 JL786533:JL786534 TH786533:TH786534 ADD786533:ADD786534 AMZ786533:AMZ786534 AWV786533:AWV786534 BGR786533:BGR786534 BQN786533:BQN786534 CAJ786533:CAJ786534 CKF786533:CKF786534 CUB786533:CUB786534 DDX786533:DDX786534 DNT786533:DNT786534 DXP786533:DXP786534 EHL786533:EHL786534 ERH786533:ERH786534 FBD786533:FBD786534 FKZ786533:FKZ786534 FUV786533:FUV786534 GER786533:GER786534 GON786533:GON786534 GYJ786533:GYJ786534 HIF786533:HIF786534 HSB786533:HSB786534 IBX786533:IBX786534 ILT786533:ILT786534 IVP786533:IVP786534 JFL786533:JFL786534 JPH786533:JPH786534 JZD786533:JZD786534 KIZ786533:KIZ786534 KSV786533:KSV786534 LCR786533:LCR786534 LMN786533:LMN786534 LWJ786533:LWJ786534 MGF786533:MGF786534 MQB786533:MQB786534 MZX786533:MZX786534 NJT786533:NJT786534 NTP786533:NTP786534 ODL786533:ODL786534 ONH786533:ONH786534 OXD786533:OXD786534 PGZ786533:PGZ786534 PQV786533:PQV786534 QAR786533:QAR786534 QKN786533:QKN786534 QUJ786533:QUJ786534 REF786533:REF786534 ROB786533:ROB786534 RXX786533:RXX786534 SHT786533:SHT786534 SRP786533:SRP786534 TBL786533:TBL786534 TLH786533:TLH786534 TVD786533:TVD786534 UEZ786533:UEZ786534 UOV786533:UOV786534 UYR786533:UYR786534 VIN786533:VIN786534 VSJ786533:VSJ786534 WCF786533:WCF786534 WMB786533:WMB786534 WVX786533:WVX786534 P852069:P852070 JL852069:JL852070 TH852069:TH852070 ADD852069:ADD852070 AMZ852069:AMZ852070 AWV852069:AWV852070 BGR852069:BGR852070 BQN852069:BQN852070 CAJ852069:CAJ852070 CKF852069:CKF852070 CUB852069:CUB852070 DDX852069:DDX852070 DNT852069:DNT852070 DXP852069:DXP852070 EHL852069:EHL852070 ERH852069:ERH852070 FBD852069:FBD852070 FKZ852069:FKZ852070 FUV852069:FUV852070 GER852069:GER852070 GON852069:GON852070 GYJ852069:GYJ852070 HIF852069:HIF852070 HSB852069:HSB852070 IBX852069:IBX852070 ILT852069:ILT852070 IVP852069:IVP852070 JFL852069:JFL852070 JPH852069:JPH852070 JZD852069:JZD852070 KIZ852069:KIZ852070 KSV852069:KSV852070 LCR852069:LCR852070 LMN852069:LMN852070 LWJ852069:LWJ852070 MGF852069:MGF852070 MQB852069:MQB852070 MZX852069:MZX852070 NJT852069:NJT852070 NTP852069:NTP852070 ODL852069:ODL852070 ONH852069:ONH852070 OXD852069:OXD852070 PGZ852069:PGZ852070 PQV852069:PQV852070 QAR852069:QAR852070 QKN852069:QKN852070 QUJ852069:QUJ852070 REF852069:REF852070 ROB852069:ROB852070 RXX852069:RXX852070 SHT852069:SHT852070 SRP852069:SRP852070 TBL852069:TBL852070 TLH852069:TLH852070 TVD852069:TVD852070 UEZ852069:UEZ852070 UOV852069:UOV852070 UYR852069:UYR852070 VIN852069:VIN852070 VSJ852069:VSJ852070 WCF852069:WCF852070 WMB852069:WMB852070 WVX852069:WVX852070 P917605:P917606 JL917605:JL917606 TH917605:TH917606 ADD917605:ADD917606 AMZ917605:AMZ917606 AWV917605:AWV917606 BGR917605:BGR917606 BQN917605:BQN917606 CAJ917605:CAJ917606 CKF917605:CKF917606 CUB917605:CUB917606 DDX917605:DDX917606 DNT917605:DNT917606 DXP917605:DXP917606 EHL917605:EHL917606 ERH917605:ERH917606 FBD917605:FBD917606 FKZ917605:FKZ917606 FUV917605:FUV917606 GER917605:GER917606 GON917605:GON917606 GYJ917605:GYJ917606 HIF917605:HIF917606 HSB917605:HSB917606 IBX917605:IBX917606 ILT917605:ILT917606 IVP917605:IVP917606 JFL917605:JFL917606 JPH917605:JPH917606 JZD917605:JZD917606 KIZ917605:KIZ917606 KSV917605:KSV917606 LCR917605:LCR917606 LMN917605:LMN917606 LWJ917605:LWJ917606 MGF917605:MGF917606 MQB917605:MQB917606 MZX917605:MZX917606 NJT917605:NJT917606 NTP917605:NTP917606 ODL917605:ODL917606 ONH917605:ONH917606 OXD917605:OXD917606 PGZ917605:PGZ917606 PQV917605:PQV917606 QAR917605:QAR917606 QKN917605:QKN917606 QUJ917605:QUJ917606 REF917605:REF917606 ROB917605:ROB917606 RXX917605:RXX917606 SHT917605:SHT917606 SRP917605:SRP917606 TBL917605:TBL917606 TLH917605:TLH917606 TVD917605:TVD917606 UEZ917605:UEZ917606 UOV917605:UOV917606 UYR917605:UYR917606 VIN917605:VIN917606 VSJ917605:VSJ917606 WCF917605:WCF917606 WMB917605:WMB917606 WVX917605:WVX917606 P983141:P983142 JL983141:JL983142 TH983141:TH983142 ADD983141:ADD983142 AMZ983141:AMZ983142 AWV983141:AWV983142 BGR983141:BGR983142 BQN983141:BQN983142 CAJ983141:CAJ983142 CKF983141:CKF983142 CUB983141:CUB983142 DDX983141:DDX983142 DNT983141:DNT983142 DXP983141:DXP983142 EHL983141:EHL983142 ERH983141:ERH983142 FBD983141:FBD983142 FKZ983141:FKZ983142 FUV983141:FUV983142 GER983141:GER983142 GON983141:GON983142 GYJ983141:GYJ983142 HIF983141:HIF983142 HSB983141:HSB983142 IBX983141:IBX983142 ILT983141:ILT983142 IVP983141:IVP983142 JFL983141:JFL983142 JPH983141:JPH983142 JZD983141:JZD983142 KIZ983141:KIZ983142 KSV983141:KSV983142 LCR983141:LCR983142 LMN983141:LMN983142 LWJ983141:LWJ983142 MGF983141:MGF983142 MQB983141:MQB983142 MZX983141:MZX983142 NJT983141:NJT983142 NTP983141:NTP983142 ODL983141:ODL983142 ONH983141:ONH983142 OXD983141:OXD983142 PGZ983141:PGZ983142 PQV983141:PQV983142 QAR983141:QAR983142 QKN983141:QKN983142 QUJ983141:QUJ983142 REF983141:REF983142 ROB983141:ROB983142 RXX983141:RXX983142 SHT983141:SHT983142 SRP983141:SRP983142 TBL983141:TBL983142 TLH983141:TLH983142 TVD983141:TVD983142 UEZ983141:UEZ983142 UOV983141:UOV983142 UYR983141:UYR983142 VIN983141:VIN983142 VSJ983141:VSJ983142 WCF983141:WCF983142 WMB983141:WMB983142 WVX983141:WVX983142 ADK105:ADK107 W65640:W65643 JS65640:JS65643 TO65640:TO65643 ADK65640:ADK65643 ANG65640:ANG65643 AXC65640:AXC65643 BGY65640:BGY65643 BQU65640:BQU65643 CAQ65640:CAQ65643 CKM65640:CKM65643 CUI65640:CUI65643 DEE65640:DEE65643 DOA65640:DOA65643 DXW65640:DXW65643 EHS65640:EHS65643 ERO65640:ERO65643 FBK65640:FBK65643 FLG65640:FLG65643 FVC65640:FVC65643 GEY65640:GEY65643 GOU65640:GOU65643 GYQ65640:GYQ65643 HIM65640:HIM65643 HSI65640:HSI65643 ICE65640:ICE65643 IMA65640:IMA65643 IVW65640:IVW65643 JFS65640:JFS65643 JPO65640:JPO65643 JZK65640:JZK65643 KJG65640:KJG65643 KTC65640:KTC65643 LCY65640:LCY65643 LMU65640:LMU65643 LWQ65640:LWQ65643 MGM65640:MGM65643 MQI65640:MQI65643 NAE65640:NAE65643 NKA65640:NKA65643 NTW65640:NTW65643 ODS65640:ODS65643 ONO65640:ONO65643 OXK65640:OXK65643 PHG65640:PHG65643 PRC65640:PRC65643 QAY65640:QAY65643 QKU65640:QKU65643 QUQ65640:QUQ65643 REM65640:REM65643 ROI65640:ROI65643 RYE65640:RYE65643 SIA65640:SIA65643 SRW65640:SRW65643 TBS65640:TBS65643 TLO65640:TLO65643 TVK65640:TVK65643 UFG65640:UFG65643 UPC65640:UPC65643 UYY65640:UYY65643 VIU65640:VIU65643 VSQ65640:VSQ65643 WCM65640:WCM65643 WMI65640:WMI65643 WWE65640:WWE65643 W131176:W131179 JS131176:JS131179 TO131176:TO131179 ADK131176:ADK131179 ANG131176:ANG131179 AXC131176:AXC131179 BGY131176:BGY131179 BQU131176:BQU131179 CAQ131176:CAQ131179 CKM131176:CKM131179 CUI131176:CUI131179 DEE131176:DEE131179 DOA131176:DOA131179 DXW131176:DXW131179 EHS131176:EHS131179 ERO131176:ERO131179 FBK131176:FBK131179 FLG131176:FLG131179 FVC131176:FVC131179 GEY131176:GEY131179 GOU131176:GOU131179 GYQ131176:GYQ131179 HIM131176:HIM131179 HSI131176:HSI131179 ICE131176:ICE131179 IMA131176:IMA131179 IVW131176:IVW131179 JFS131176:JFS131179 JPO131176:JPO131179 JZK131176:JZK131179 KJG131176:KJG131179 KTC131176:KTC131179 LCY131176:LCY131179 LMU131176:LMU131179 LWQ131176:LWQ131179 MGM131176:MGM131179 MQI131176:MQI131179 NAE131176:NAE131179 NKA131176:NKA131179 NTW131176:NTW131179 ODS131176:ODS131179 ONO131176:ONO131179 OXK131176:OXK131179 PHG131176:PHG131179 PRC131176:PRC131179 QAY131176:QAY131179 QKU131176:QKU131179 QUQ131176:QUQ131179 REM131176:REM131179 ROI131176:ROI131179 RYE131176:RYE131179 SIA131176:SIA131179 SRW131176:SRW131179 TBS131176:TBS131179 TLO131176:TLO131179 TVK131176:TVK131179 UFG131176:UFG131179 UPC131176:UPC131179 UYY131176:UYY131179 VIU131176:VIU131179 VSQ131176:VSQ131179 WCM131176:WCM131179 WMI131176:WMI131179 WWE131176:WWE131179 W196712:W196715 JS196712:JS196715 TO196712:TO196715 ADK196712:ADK196715 ANG196712:ANG196715 AXC196712:AXC196715 BGY196712:BGY196715 BQU196712:BQU196715 CAQ196712:CAQ196715 CKM196712:CKM196715 CUI196712:CUI196715 DEE196712:DEE196715 DOA196712:DOA196715 DXW196712:DXW196715 EHS196712:EHS196715 ERO196712:ERO196715 FBK196712:FBK196715 FLG196712:FLG196715 FVC196712:FVC196715 GEY196712:GEY196715 GOU196712:GOU196715 GYQ196712:GYQ196715 HIM196712:HIM196715 HSI196712:HSI196715 ICE196712:ICE196715 IMA196712:IMA196715 IVW196712:IVW196715 JFS196712:JFS196715 JPO196712:JPO196715 JZK196712:JZK196715 KJG196712:KJG196715 KTC196712:KTC196715 LCY196712:LCY196715 LMU196712:LMU196715 LWQ196712:LWQ196715 MGM196712:MGM196715 MQI196712:MQI196715 NAE196712:NAE196715 NKA196712:NKA196715 NTW196712:NTW196715 ODS196712:ODS196715 ONO196712:ONO196715 OXK196712:OXK196715 PHG196712:PHG196715 PRC196712:PRC196715 QAY196712:QAY196715 QKU196712:QKU196715 QUQ196712:QUQ196715 REM196712:REM196715 ROI196712:ROI196715 RYE196712:RYE196715 SIA196712:SIA196715 SRW196712:SRW196715 TBS196712:TBS196715 TLO196712:TLO196715 TVK196712:TVK196715 UFG196712:UFG196715 UPC196712:UPC196715 UYY196712:UYY196715 VIU196712:VIU196715 VSQ196712:VSQ196715 WCM196712:WCM196715 WMI196712:WMI196715 WWE196712:WWE196715 W262248:W262251 JS262248:JS262251 TO262248:TO262251 ADK262248:ADK262251 ANG262248:ANG262251 AXC262248:AXC262251 BGY262248:BGY262251 BQU262248:BQU262251 CAQ262248:CAQ262251 CKM262248:CKM262251 CUI262248:CUI262251 DEE262248:DEE262251 DOA262248:DOA262251 DXW262248:DXW262251 EHS262248:EHS262251 ERO262248:ERO262251 FBK262248:FBK262251 FLG262248:FLG262251 FVC262248:FVC262251 GEY262248:GEY262251 GOU262248:GOU262251 GYQ262248:GYQ262251 HIM262248:HIM262251 HSI262248:HSI262251 ICE262248:ICE262251 IMA262248:IMA262251 IVW262248:IVW262251 JFS262248:JFS262251 JPO262248:JPO262251 JZK262248:JZK262251 KJG262248:KJG262251 KTC262248:KTC262251 LCY262248:LCY262251 LMU262248:LMU262251 LWQ262248:LWQ262251 MGM262248:MGM262251 MQI262248:MQI262251 NAE262248:NAE262251 NKA262248:NKA262251 NTW262248:NTW262251 ODS262248:ODS262251 ONO262248:ONO262251 OXK262248:OXK262251 PHG262248:PHG262251 PRC262248:PRC262251 QAY262248:QAY262251 QKU262248:QKU262251 QUQ262248:QUQ262251 REM262248:REM262251 ROI262248:ROI262251 RYE262248:RYE262251 SIA262248:SIA262251 SRW262248:SRW262251 TBS262248:TBS262251 TLO262248:TLO262251 TVK262248:TVK262251 UFG262248:UFG262251 UPC262248:UPC262251 UYY262248:UYY262251 VIU262248:VIU262251 VSQ262248:VSQ262251 WCM262248:WCM262251 WMI262248:WMI262251 WWE262248:WWE262251 W327784:W327787 JS327784:JS327787 TO327784:TO327787 ADK327784:ADK327787 ANG327784:ANG327787 AXC327784:AXC327787 BGY327784:BGY327787 BQU327784:BQU327787 CAQ327784:CAQ327787 CKM327784:CKM327787 CUI327784:CUI327787 DEE327784:DEE327787 DOA327784:DOA327787 DXW327784:DXW327787 EHS327784:EHS327787 ERO327784:ERO327787 FBK327784:FBK327787 FLG327784:FLG327787 FVC327784:FVC327787 GEY327784:GEY327787 GOU327784:GOU327787 GYQ327784:GYQ327787 HIM327784:HIM327787 HSI327784:HSI327787 ICE327784:ICE327787 IMA327784:IMA327787 IVW327784:IVW327787 JFS327784:JFS327787 JPO327784:JPO327787 JZK327784:JZK327787 KJG327784:KJG327787 KTC327784:KTC327787 LCY327784:LCY327787 LMU327784:LMU327787 LWQ327784:LWQ327787 MGM327784:MGM327787 MQI327784:MQI327787 NAE327784:NAE327787 NKA327784:NKA327787 NTW327784:NTW327787 ODS327784:ODS327787 ONO327784:ONO327787 OXK327784:OXK327787 PHG327784:PHG327787 PRC327784:PRC327787 QAY327784:QAY327787 QKU327784:QKU327787 QUQ327784:QUQ327787 REM327784:REM327787 ROI327784:ROI327787 RYE327784:RYE327787 SIA327784:SIA327787 SRW327784:SRW327787 TBS327784:TBS327787 TLO327784:TLO327787 TVK327784:TVK327787 UFG327784:UFG327787 UPC327784:UPC327787 UYY327784:UYY327787 VIU327784:VIU327787 VSQ327784:VSQ327787 WCM327784:WCM327787 WMI327784:WMI327787 WWE327784:WWE327787 W393320:W393323 JS393320:JS393323 TO393320:TO393323 ADK393320:ADK393323 ANG393320:ANG393323 AXC393320:AXC393323 BGY393320:BGY393323 BQU393320:BQU393323 CAQ393320:CAQ393323 CKM393320:CKM393323 CUI393320:CUI393323 DEE393320:DEE393323 DOA393320:DOA393323 DXW393320:DXW393323 EHS393320:EHS393323 ERO393320:ERO393323 FBK393320:FBK393323 FLG393320:FLG393323 FVC393320:FVC393323 GEY393320:GEY393323 GOU393320:GOU393323 GYQ393320:GYQ393323 HIM393320:HIM393323 HSI393320:HSI393323 ICE393320:ICE393323 IMA393320:IMA393323 IVW393320:IVW393323 JFS393320:JFS393323 JPO393320:JPO393323 JZK393320:JZK393323 KJG393320:KJG393323 KTC393320:KTC393323 LCY393320:LCY393323 LMU393320:LMU393323 LWQ393320:LWQ393323 MGM393320:MGM393323 MQI393320:MQI393323 NAE393320:NAE393323 NKA393320:NKA393323 NTW393320:NTW393323 ODS393320:ODS393323 ONO393320:ONO393323 OXK393320:OXK393323 PHG393320:PHG393323 PRC393320:PRC393323 QAY393320:QAY393323 QKU393320:QKU393323 QUQ393320:QUQ393323 REM393320:REM393323 ROI393320:ROI393323 RYE393320:RYE393323 SIA393320:SIA393323 SRW393320:SRW393323 TBS393320:TBS393323 TLO393320:TLO393323 TVK393320:TVK393323 UFG393320:UFG393323 UPC393320:UPC393323 UYY393320:UYY393323 VIU393320:VIU393323 VSQ393320:VSQ393323 WCM393320:WCM393323 WMI393320:WMI393323 WWE393320:WWE393323 W458856:W458859 JS458856:JS458859 TO458856:TO458859 ADK458856:ADK458859 ANG458856:ANG458859 AXC458856:AXC458859 BGY458856:BGY458859 BQU458856:BQU458859 CAQ458856:CAQ458859 CKM458856:CKM458859 CUI458856:CUI458859 DEE458856:DEE458859 DOA458856:DOA458859 DXW458856:DXW458859 EHS458856:EHS458859 ERO458856:ERO458859 FBK458856:FBK458859 FLG458856:FLG458859 FVC458856:FVC458859 GEY458856:GEY458859 GOU458856:GOU458859 GYQ458856:GYQ458859 HIM458856:HIM458859 HSI458856:HSI458859 ICE458856:ICE458859 IMA458856:IMA458859 IVW458856:IVW458859 JFS458856:JFS458859 JPO458856:JPO458859 JZK458856:JZK458859 KJG458856:KJG458859 KTC458856:KTC458859 LCY458856:LCY458859 LMU458856:LMU458859 LWQ458856:LWQ458859 MGM458856:MGM458859 MQI458856:MQI458859 NAE458856:NAE458859 NKA458856:NKA458859 NTW458856:NTW458859 ODS458856:ODS458859 ONO458856:ONO458859 OXK458856:OXK458859 PHG458856:PHG458859 PRC458856:PRC458859 QAY458856:QAY458859 QKU458856:QKU458859 QUQ458856:QUQ458859 REM458856:REM458859 ROI458856:ROI458859 RYE458856:RYE458859 SIA458856:SIA458859 SRW458856:SRW458859 TBS458856:TBS458859 TLO458856:TLO458859 TVK458856:TVK458859 UFG458856:UFG458859 UPC458856:UPC458859 UYY458856:UYY458859 VIU458856:VIU458859 VSQ458856:VSQ458859 WCM458856:WCM458859 WMI458856:WMI458859 WWE458856:WWE458859 W524392:W524395 JS524392:JS524395 TO524392:TO524395 ADK524392:ADK524395 ANG524392:ANG524395 AXC524392:AXC524395 BGY524392:BGY524395 BQU524392:BQU524395 CAQ524392:CAQ524395 CKM524392:CKM524395 CUI524392:CUI524395 DEE524392:DEE524395 DOA524392:DOA524395 DXW524392:DXW524395 EHS524392:EHS524395 ERO524392:ERO524395 FBK524392:FBK524395 FLG524392:FLG524395 FVC524392:FVC524395 GEY524392:GEY524395 GOU524392:GOU524395 GYQ524392:GYQ524395 HIM524392:HIM524395 HSI524392:HSI524395 ICE524392:ICE524395 IMA524392:IMA524395 IVW524392:IVW524395 JFS524392:JFS524395 JPO524392:JPO524395 JZK524392:JZK524395 KJG524392:KJG524395 KTC524392:KTC524395 LCY524392:LCY524395 LMU524392:LMU524395 LWQ524392:LWQ524395 MGM524392:MGM524395 MQI524392:MQI524395 NAE524392:NAE524395 NKA524392:NKA524395 NTW524392:NTW524395 ODS524392:ODS524395 ONO524392:ONO524395 OXK524392:OXK524395 PHG524392:PHG524395 PRC524392:PRC524395 QAY524392:QAY524395 QKU524392:QKU524395 QUQ524392:QUQ524395 REM524392:REM524395 ROI524392:ROI524395 RYE524392:RYE524395 SIA524392:SIA524395 SRW524392:SRW524395 TBS524392:TBS524395 TLO524392:TLO524395 TVK524392:TVK524395 UFG524392:UFG524395 UPC524392:UPC524395 UYY524392:UYY524395 VIU524392:VIU524395 VSQ524392:VSQ524395 WCM524392:WCM524395 WMI524392:WMI524395 WWE524392:WWE524395 W589928:W589931 JS589928:JS589931 TO589928:TO589931 ADK589928:ADK589931 ANG589928:ANG589931 AXC589928:AXC589931 BGY589928:BGY589931 BQU589928:BQU589931 CAQ589928:CAQ589931 CKM589928:CKM589931 CUI589928:CUI589931 DEE589928:DEE589931 DOA589928:DOA589931 DXW589928:DXW589931 EHS589928:EHS589931 ERO589928:ERO589931 FBK589928:FBK589931 FLG589928:FLG589931 FVC589928:FVC589931 GEY589928:GEY589931 GOU589928:GOU589931 GYQ589928:GYQ589931 HIM589928:HIM589931 HSI589928:HSI589931 ICE589928:ICE589931 IMA589928:IMA589931 IVW589928:IVW589931 JFS589928:JFS589931 JPO589928:JPO589931 JZK589928:JZK589931 KJG589928:KJG589931 KTC589928:KTC589931 LCY589928:LCY589931 LMU589928:LMU589931 LWQ589928:LWQ589931 MGM589928:MGM589931 MQI589928:MQI589931 NAE589928:NAE589931 NKA589928:NKA589931 NTW589928:NTW589931 ODS589928:ODS589931 ONO589928:ONO589931 OXK589928:OXK589931 PHG589928:PHG589931 PRC589928:PRC589931 QAY589928:QAY589931 QKU589928:QKU589931 QUQ589928:QUQ589931 REM589928:REM589931 ROI589928:ROI589931 RYE589928:RYE589931 SIA589928:SIA589931 SRW589928:SRW589931 TBS589928:TBS589931 TLO589928:TLO589931 TVK589928:TVK589931 UFG589928:UFG589931 UPC589928:UPC589931 UYY589928:UYY589931 VIU589928:VIU589931 VSQ589928:VSQ589931 WCM589928:WCM589931 WMI589928:WMI589931 WWE589928:WWE589931 W655464:W655467 JS655464:JS655467 TO655464:TO655467 ADK655464:ADK655467 ANG655464:ANG655467 AXC655464:AXC655467 BGY655464:BGY655467 BQU655464:BQU655467 CAQ655464:CAQ655467 CKM655464:CKM655467 CUI655464:CUI655467 DEE655464:DEE655467 DOA655464:DOA655467 DXW655464:DXW655467 EHS655464:EHS655467 ERO655464:ERO655467 FBK655464:FBK655467 FLG655464:FLG655467 FVC655464:FVC655467 GEY655464:GEY655467 GOU655464:GOU655467 GYQ655464:GYQ655467 HIM655464:HIM655467 HSI655464:HSI655467 ICE655464:ICE655467 IMA655464:IMA655467 IVW655464:IVW655467 JFS655464:JFS655467 JPO655464:JPO655467 JZK655464:JZK655467 KJG655464:KJG655467 KTC655464:KTC655467 LCY655464:LCY655467 LMU655464:LMU655467 LWQ655464:LWQ655467 MGM655464:MGM655467 MQI655464:MQI655467 NAE655464:NAE655467 NKA655464:NKA655467 NTW655464:NTW655467 ODS655464:ODS655467 ONO655464:ONO655467 OXK655464:OXK655467 PHG655464:PHG655467 PRC655464:PRC655467 QAY655464:QAY655467 QKU655464:QKU655467 QUQ655464:QUQ655467 REM655464:REM655467 ROI655464:ROI655467 RYE655464:RYE655467 SIA655464:SIA655467 SRW655464:SRW655467 TBS655464:TBS655467 TLO655464:TLO655467 TVK655464:TVK655467 UFG655464:UFG655467 UPC655464:UPC655467 UYY655464:UYY655467 VIU655464:VIU655467 VSQ655464:VSQ655467 WCM655464:WCM655467 WMI655464:WMI655467 WWE655464:WWE655467 W721000:W721003 JS721000:JS721003 TO721000:TO721003 ADK721000:ADK721003 ANG721000:ANG721003 AXC721000:AXC721003 BGY721000:BGY721003 BQU721000:BQU721003 CAQ721000:CAQ721003 CKM721000:CKM721003 CUI721000:CUI721003 DEE721000:DEE721003 DOA721000:DOA721003 DXW721000:DXW721003 EHS721000:EHS721003 ERO721000:ERO721003 FBK721000:FBK721003 FLG721000:FLG721003 FVC721000:FVC721003 GEY721000:GEY721003 GOU721000:GOU721003 GYQ721000:GYQ721003 HIM721000:HIM721003 HSI721000:HSI721003 ICE721000:ICE721003 IMA721000:IMA721003 IVW721000:IVW721003 JFS721000:JFS721003 JPO721000:JPO721003 JZK721000:JZK721003 KJG721000:KJG721003 KTC721000:KTC721003 LCY721000:LCY721003 LMU721000:LMU721003 LWQ721000:LWQ721003 MGM721000:MGM721003 MQI721000:MQI721003 NAE721000:NAE721003 NKA721000:NKA721003 NTW721000:NTW721003 ODS721000:ODS721003 ONO721000:ONO721003 OXK721000:OXK721003 PHG721000:PHG721003 PRC721000:PRC721003 QAY721000:QAY721003 QKU721000:QKU721003 QUQ721000:QUQ721003 REM721000:REM721003 ROI721000:ROI721003 RYE721000:RYE721003 SIA721000:SIA721003 SRW721000:SRW721003 TBS721000:TBS721003 TLO721000:TLO721003 TVK721000:TVK721003 UFG721000:UFG721003 UPC721000:UPC721003 UYY721000:UYY721003 VIU721000:VIU721003 VSQ721000:VSQ721003 WCM721000:WCM721003 WMI721000:WMI721003 WWE721000:WWE721003 W786536:W786539 JS786536:JS786539 TO786536:TO786539 ADK786536:ADK786539 ANG786536:ANG786539 AXC786536:AXC786539 BGY786536:BGY786539 BQU786536:BQU786539 CAQ786536:CAQ786539 CKM786536:CKM786539 CUI786536:CUI786539 DEE786536:DEE786539 DOA786536:DOA786539 DXW786536:DXW786539 EHS786536:EHS786539 ERO786536:ERO786539 FBK786536:FBK786539 FLG786536:FLG786539 FVC786536:FVC786539 GEY786536:GEY786539 GOU786536:GOU786539 GYQ786536:GYQ786539 HIM786536:HIM786539 HSI786536:HSI786539 ICE786536:ICE786539 IMA786536:IMA786539 IVW786536:IVW786539 JFS786536:JFS786539 JPO786536:JPO786539 JZK786536:JZK786539 KJG786536:KJG786539 KTC786536:KTC786539 LCY786536:LCY786539 LMU786536:LMU786539 LWQ786536:LWQ786539 MGM786536:MGM786539 MQI786536:MQI786539 NAE786536:NAE786539 NKA786536:NKA786539 NTW786536:NTW786539 ODS786536:ODS786539 ONO786536:ONO786539 OXK786536:OXK786539 PHG786536:PHG786539 PRC786536:PRC786539 QAY786536:QAY786539 QKU786536:QKU786539 QUQ786536:QUQ786539 REM786536:REM786539 ROI786536:ROI786539 RYE786536:RYE786539 SIA786536:SIA786539 SRW786536:SRW786539 TBS786536:TBS786539 TLO786536:TLO786539 TVK786536:TVK786539 UFG786536:UFG786539 UPC786536:UPC786539 UYY786536:UYY786539 VIU786536:VIU786539 VSQ786536:VSQ786539 WCM786536:WCM786539 WMI786536:WMI786539 WWE786536:WWE786539 W852072:W852075 JS852072:JS852075 TO852072:TO852075 ADK852072:ADK852075 ANG852072:ANG852075 AXC852072:AXC852075 BGY852072:BGY852075 BQU852072:BQU852075 CAQ852072:CAQ852075 CKM852072:CKM852075 CUI852072:CUI852075 DEE852072:DEE852075 DOA852072:DOA852075 DXW852072:DXW852075 EHS852072:EHS852075 ERO852072:ERO852075 FBK852072:FBK852075 FLG852072:FLG852075 FVC852072:FVC852075 GEY852072:GEY852075 GOU852072:GOU852075 GYQ852072:GYQ852075 HIM852072:HIM852075 HSI852072:HSI852075 ICE852072:ICE852075 IMA852072:IMA852075 IVW852072:IVW852075 JFS852072:JFS852075 JPO852072:JPO852075 JZK852072:JZK852075 KJG852072:KJG852075 KTC852072:KTC852075 LCY852072:LCY852075 LMU852072:LMU852075 LWQ852072:LWQ852075 MGM852072:MGM852075 MQI852072:MQI852075 NAE852072:NAE852075 NKA852072:NKA852075 NTW852072:NTW852075 ODS852072:ODS852075 ONO852072:ONO852075 OXK852072:OXK852075 PHG852072:PHG852075 PRC852072:PRC852075 QAY852072:QAY852075 QKU852072:QKU852075 QUQ852072:QUQ852075 REM852072:REM852075 ROI852072:ROI852075 RYE852072:RYE852075 SIA852072:SIA852075 SRW852072:SRW852075 TBS852072:TBS852075 TLO852072:TLO852075 TVK852072:TVK852075 UFG852072:UFG852075 UPC852072:UPC852075 UYY852072:UYY852075 VIU852072:VIU852075 VSQ852072:VSQ852075 WCM852072:WCM852075 WMI852072:WMI852075 WWE852072:WWE852075 W917608:W917611 JS917608:JS917611 TO917608:TO917611 ADK917608:ADK917611 ANG917608:ANG917611 AXC917608:AXC917611 BGY917608:BGY917611 BQU917608:BQU917611 CAQ917608:CAQ917611 CKM917608:CKM917611 CUI917608:CUI917611 DEE917608:DEE917611 DOA917608:DOA917611 DXW917608:DXW917611 EHS917608:EHS917611 ERO917608:ERO917611 FBK917608:FBK917611 FLG917608:FLG917611 FVC917608:FVC917611 GEY917608:GEY917611 GOU917608:GOU917611 GYQ917608:GYQ917611 HIM917608:HIM917611 HSI917608:HSI917611 ICE917608:ICE917611 IMA917608:IMA917611 IVW917608:IVW917611 JFS917608:JFS917611 JPO917608:JPO917611 JZK917608:JZK917611 KJG917608:KJG917611 KTC917608:KTC917611 LCY917608:LCY917611 LMU917608:LMU917611 LWQ917608:LWQ917611 MGM917608:MGM917611 MQI917608:MQI917611 NAE917608:NAE917611 NKA917608:NKA917611 NTW917608:NTW917611 ODS917608:ODS917611 ONO917608:ONO917611 OXK917608:OXK917611 PHG917608:PHG917611 PRC917608:PRC917611 QAY917608:QAY917611 QKU917608:QKU917611 QUQ917608:QUQ917611 REM917608:REM917611 ROI917608:ROI917611 RYE917608:RYE917611 SIA917608:SIA917611 SRW917608:SRW917611 TBS917608:TBS917611 TLO917608:TLO917611 TVK917608:TVK917611 UFG917608:UFG917611 UPC917608:UPC917611 UYY917608:UYY917611 VIU917608:VIU917611 VSQ917608:VSQ917611 WCM917608:WCM917611 WMI917608:WMI917611 WWE917608:WWE917611 W983144:W983147 JS983144:JS983147 TO983144:TO983147 ADK983144:ADK983147 ANG983144:ANG983147 AXC983144:AXC983147 BGY983144:BGY983147 BQU983144:BQU983147 CAQ983144:CAQ983147 CKM983144:CKM983147 CUI983144:CUI983147 DEE983144:DEE983147 DOA983144:DOA983147 DXW983144:DXW983147 EHS983144:EHS983147 ERO983144:ERO983147 FBK983144:FBK983147 FLG983144:FLG983147 FVC983144:FVC983147 GEY983144:GEY983147 GOU983144:GOU983147 GYQ983144:GYQ983147 HIM983144:HIM983147 HSI983144:HSI983147 ICE983144:ICE983147 IMA983144:IMA983147 IVW983144:IVW983147 JFS983144:JFS983147 JPO983144:JPO983147 JZK983144:JZK983147 KJG983144:KJG983147 KTC983144:KTC983147 LCY983144:LCY983147 LMU983144:LMU983147 LWQ983144:LWQ983147 MGM983144:MGM983147 MQI983144:MQI983147 NAE983144:NAE983147 NKA983144:NKA983147 NTW983144:NTW983147 ODS983144:ODS983147 ONO983144:ONO983147 OXK983144:OXK983147 PHG983144:PHG983147 PRC983144:PRC983147 QAY983144:QAY983147 QKU983144:QKU983147 QUQ983144:QUQ983147 REM983144:REM983147 ROI983144:ROI983147 RYE983144:RYE983147 SIA983144:SIA983147 SRW983144:SRW983147 TBS983144:TBS983147 TLO983144:TLO983147 TVK983144:TVK983147 UFG983144:UFG983147 UPC983144:UPC983147 UYY983144:UYY983147 VIU983144:VIU983147 VSQ983144:VSQ983147 WCM983144:WCM983147 WMI983144:WMI983147 WWE983144:WWE983147 M65639:M65643 JI65639:JI65643 TE65639:TE65643 ADA65639:ADA65643 AMW65639:AMW65643 AWS65639:AWS65643 BGO65639:BGO65643 BQK65639:BQK65643 CAG65639:CAG65643 CKC65639:CKC65643 CTY65639:CTY65643 DDU65639:DDU65643 DNQ65639:DNQ65643 DXM65639:DXM65643 EHI65639:EHI65643 ERE65639:ERE65643 FBA65639:FBA65643 FKW65639:FKW65643 FUS65639:FUS65643 GEO65639:GEO65643 GOK65639:GOK65643 GYG65639:GYG65643 HIC65639:HIC65643 HRY65639:HRY65643 IBU65639:IBU65643 ILQ65639:ILQ65643 IVM65639:IVM65643 JFI65639:JFI65643 JPE65639:JPE65643 JZA65639:JZA65643 KIW65639:KIW65643 KSS65639:KSS65643 LCO65639:LCO65643 LMK65639:LMK65643 LWG65639:LWG65643 MGC65639:MGC65643 MPY65639:MPY65643 MZU65639:MZU65643 NJQ65639:NJQ65643 NTM65639:NTM65643 ODI65639:ODI65643 ONE65639:ONE65643 OXA65639:OXA65643 PGW65639:PGW65643 PQS65639:PQS65643 QAO65639:QAO65643 QKK65639:QKK65643 QUG65639:QUG65643 REC65639:REC65643 RNY65639:RNY65643 RXU65639:RXU65643 SHQ65639:SHQ65643 SRM65639:SRM65643 TBI65639:TBI65643 TLE65639:TLE65643 TVA65639:TVA65643 UEW65639:UEW65643 UOS65639:UOS65643 UYO65639:UYO65643 VIK65639:VIK65643 VSG65639:VSG65643 WCC65639:WCC65643 WLY65639:WLY65643 WVU65639:WVU65643 M131175:M131179 JI131175:JI131179 TE131175:TE131179 ADA131175:ADA131179 AMW131175:AMW131179 AWS131175:AWS131179 BGO131175:BGO131179 BQK131175:BQK131179 CAG131175:CAG131179 CKC131175:CKC131179 CTY131175:CTY131179 DDU131175:DDU131179 DNQ131175:DNQ131179 DXM131175:DXM131179 EHI131175:EHI131179 ERE131175:ERE131179 FBA131175:FBA131179 FKW131175:FKW131179 FUS131175:FUS131179 GEO131175:GEO131179 GOK131175:GOK131179 GYG131175:GYG131179 HIC131175:HIC131179 HRY131175:HRY131179 IBU131175:IBU131179 ILQ131175:ILQ131179 IVM131175:IVM131179 JFI131175:JFI131179 JPE131175:JPE131179 JZA131175:JZA131179 KIW131175:KIW131179 KSS131175:KSS131179 LCO131175:LCO131179 LMK131175:LMK131179 LWG131175:LWG131179 MGC131175:MGC131179 MPY131175:MPY131179 MZU131175:MZU131179 NJQ131175:NJQ131179 NTM131175:NTM131179 ODI131175:ODI131179 ONE131175:ONE131179 OXA131175:OXA131179 PGW131175:PGW131179 PQS131175:PQS131179 QAO131175:QAO131179 QKK131175:QKK131179 QUG131175:QUG131179 REC131175:REC131179 RNY131175:RNY131179 RXU131175:RXU131179 SHQ131175:SHQ131179 SRM131175:SRM131179 TBI131175:TBI131179 TLE131175:TLE131179 TVA131175:TVA131179 UEW131175:UEW131179 UOS131175:UOS131179 UYO131175:UYO131179 VIK131175:VIK131179 VSG131175:VSG131179 WCC131175:WCC131179 WLY131175:WLY131179 WVU131175:WVU131179 M196711:M196715 JI196711:JI196715 TE196711:TE196715 ADA196711:ADA196715 AMW196711:AMW196715 AWS196711:AWS196715 BGO196711:BGO196715 BQK196711:BQK196715 CAG196711:CAG196715 CKC196711:CKC196715 CTY196711:CTY196715 DDU196711:DDU196715 DNQ196711:DNQ196715 DXM196711:DXM196715 EHI196711:EHI196715 ERE196711:ERE196715 FBA196711:FBA196715 FKW196711:FKW196715 FUS196711:FUS196715 GEO196711:GEO196715 GOK196711:GOK196715 GYG196711:GYG196715 HIC196711:HIC196715 HRY196711:HRY196715 IBU196711:IBU196715 ILQ196711:ILQ196715 IVM196711:IVM196715 JFI196711:JFI196715 JPE196711:JPE196715 JZA196711:JZA196715 KIW196711:KIW196715 KSS196711:KSS196715 LCO196711:LCO196715 LMK196711:LMK196715 LWG196711:LWG196715 MGC196711:MGC196715 MPY196711:MPY196715 MZU196711:MZU196715 NJQ196711:NJQ196715 NTM196711:NTM196715 ODI196711:ODI196715 ONE196711:ONE196715 OXA196711:OXA196715 PGW196711:PGW196715 PQS196711:PQS196715 QAO196711:QAO196715 QKK196711:QKK196715 QUG196711:QUG196715 REC196711:REC196715 RNY196711:RNY196715 RXU196711:RXU196715 SHQ196711:SHQ196715 SRM196711:SRM196715 TBI196711:TBI196715 TLE196711:TLE196715 TVA196711:TVA196715 UEW196711:UEW196715 UOS196711:UOS196715 UYO196711:UYO196715 VIK196711:VIK196715 VSG196711:VSG196715 WCC196711:WCC196715 WLY196711:WLY196715 WVU196711:WVU196715 M262247:M262251 JI262247:JI262251 TE262247:TE262251 ADA262247:ADA262251 AMW262247:AMW262251 AWS262247:AWS262251 BGO262247:BGO262251 BQK262247:BQK262251 CAG262247:CAG262251 CKC262247:CKC262251 CTY262247:CTY262251 DDU262247:DDU262251 DNQ262247:DNQ262251 DXM262247:DXM262251 EHI262247:EHI262251 ERE262247:ERE262251 FBA262247:FBA262251 FKW262247:FKW262251 FUS262247:FUS262251 GEO262247:GEO262251 GOK262247:GOK262251 GYG262247:GYG262251 HIC262247:HIC262251 HRY262247:HRY262251 IBU262247:IBU262251 ILQ262247:ILQ262251 IVM262247:IVM262251 JFI262247:JFI262251 JPE262247:JPE262251 JZA262247:JZA262251 KIW262247:KIW262251 KSS262247:KSS262251 LCO262247:LCO262251 LMK262247:LMK262251 LWG262247:LWG262251 MGC262247:MGC262251 MPY262247:MPY262251 MZU262247:MZU262251 NJQ262247:NJQ262251 NTM262247:NTM262251 ODI262247:ODI262251 ONE262247:ONE262251 OXA262247:OXA262251 PGW262247:PGW262251 PQS262247:PQS262251 QAO262247:QAO262251 QKK262247:QKK262251 QUG262247:QUG262251 REC262247:REC262251 RNY262247:RNY262251 RXU262247:RXU262251 SHQ262247:SHQ262251 SRM262247:SRM262251 TBI262247:TBI262251 TLE262247:TLE262251 TVA262247:TVA262251 UEW262247:UEW262251 UOS262247:UOS262251 UYO262247:UYO262251 VIK262247:VIK262251 VSG262247:VSG262251 WCC262247:WCC262251 WLY262247:WLY262251 WVU262247:WVU262251 M327783:M327787 JI327783:JI327787 TE327783:TE327787 ADA327783:ADA327787 AMW327783:AMW327787 AWS327783:AWS327787 BGO327783:BGO327787 BQK327783:BQK327787 CAG327783:CAG327787 CKC327783:CKC327787 CTY327783:CTY327787 DDU327783:DDU327787 DNQ327783:DNQ327787 DXM327783:DXM327787 EHI327783:EHI327787 ERE327783:ERE327787 FBA327783:FBA327787 FKW327783:FKW327787 FUS327783:FUS327787 GEO327783:GEO327787 GOK327783:GOK327787 GYG327783:GYG327787 HIC327783:HIC327787 HRY327783:HRY327787 IBU327783:IBU327787 ILQ327783:ILQ327787 IVM327783:IVM327787 JFI327783:JFI327787 JPE327783:JPE327787 JZA327783:JZA327787 KIW327783:KIW327787 KSS327783:KSS327787 LCO327783:LCO327787 LMK327783:LMK327787 LWG327783:LWG327787 MGC327783:MGC327787 MPY327783:MPY327787 MZU327783:MZU327787 NJQ327783:NJQ327787 NTM327783:NTM327787 ODI327783:ODI327787 ONE327783:ONE327787 OXA327783:OXA327787 PGW327783:PGW327787 PQS327783:PQS327787 QAO327783:QAO327787 QKK327783:QKK327787 QUG327783:QUG327787 REC327783:REC327787 RNY327783:RNY327787 RXU327783:RXU327787 SHQ327783:SHQ327787 SRM327783:SRM327787 TBI327783:TBI327787 TLE327783:TLE327787 TVA327783:TVA327787 UEW327783:UEW327787 UOS327783:UOS327787 UYO327783:UYO327787 VIK327783:VIK327787 VSG327783:VSG327787 WCC327783:WCC327787 WLY327783:WLY327787 WVU327783:WVU327787 M393319:M393323 JI393319:JI393323 TE393319:TE393323 ADA393319:ADA393323 AMW393319:AMW393323 AWS393319:AWS393323 BGO393319:BGO393323 BQK393319:BQK393323 CAG393319:CAG393323 CKC393319:CKC393323 CTY393319:CTY393323 DDU393319:DDU393323 DNQ393319:DNQ393323 DXM393319:DXM393323 EHI393319:EHI393323 ERE393319:ERE393323 FBA393319:FBA393323 FKW393319:FKW393323 FUS393319:FUS393323 GEO393319:GEO393323 GOK393319:GOK393323 GYG393319:GYG393323 HIC393319:HIC393323 HRY393319:HRY393323 IBU393319:IBU393323 ILQ393319:ILQ393323 IVM393319:IVM393323 JFI393319:JFI393323 JPE393319:JPE393323 JZA393319:JZA393323 KIW393319:KIW393323 KSS393319:KSS393323 LCO393319:LCO393323 LMK393319:LMK393323 LWG393319:LWG393323 MGC393319:MGC393323 MPY393319:MPY393323 MZU393319:MZU393323 NJQ393319:NJQ393323 NTM393319:NTM393323 ODI393319:ODI393323 ONE393319:ONE393323 OXA393319:OXA393323 PGW393319:PGW393323 PQS393319:PQS393323 QAO393319:QAO393323 QKK393319:QKK393323 QUG393319:QUG393323 REC393319:REC393323 RNY393319:RNY393323 RXU393319:RXU393323 SHQ393319:SHQ393323 SRM393319:SRM393323 TBI393319:TBI393323 TLE393319:TLE393323 TVA393319:TVA393323 UEW393319:UEW393323 UOS393319:UOS393323 UYO393319:UYO393323 VIK393319:VIK393323 VSG393319:VSG393323 WCC393319:WCC393323 WLY393319:WLY393323 WVU393319:WVU393323 M458855:M458859 JI458855:JI458859 TE458855:TE458859 ADA458855:ADA458859 AMW458855:AMW458859 AWS458855:AWS458859 BGO458855:BGO458859 BQK458855:BQK458859 CAG458855:CAG458859 CKC458855:CKC458859 CTY458855:CTY458859 DDU458855:DDU458859 DNQ458855:DNQ458859 DXM458855:DXM458859 EHI458855:EHI458859 ERE458855:ERE458859 FBA458855:FBA458859 FKW458855:FKW458859 FUS458855:FUS458859 GEO458855:GEO458859 GOK458855:GOK458859 GYG458855:GYG458859 HIC458855:HIC458859 HRY458855:HRY458859 IBU458855:IBU458859 ILQ458855:ILQ458859 IVM458855:IVM458859 JFI458855:JFI458859 JPE458855:JPE458859 JZA458855:JZA458859 KIW458855:KIW458859 KSS458855:KSS458859 LCO458855:LCO458859 LMK458855:LMK458859 LWG458855:LWG458859 MGC458855:MGC458859 MPY458855:MPY458859 MZU458855:MZU458859 NJQ458855:NJQ458859 NTM458855:NTM458859 ODI458855:ODI458859 ONE458855:ONE458859 OXA458855:OXA458859 PGW458855:PGW458859 PQS458855:PQS458859 QAO458855:QAO458859 QKK458855:QKK458859 QUG458855:QUG458859 REC458855:REC458859 RNY458855:RNY458859 RXU458855:RXU458859 SHQ458855:SHQ458859 SRM458855:SRM458859 TBI458855:TBI458859 TLE458855:TLE458859 TVA458855:TVA458859 UEW458855:UEW458859 UOS458855:UOS458859 UYO458855:UYO458859 VIK458855:VIK458859 VSG458855:VSG458859 WCC458855:WCC458859 WLY458855:WLY458859 WVU458855:WVU458859 M524391:M524395 JI524391:JI524395 TE524391:TE524395 ADA524391:ADA524395 AMW524391:AMW524395 AWS524391:AWS524395 BGO524391:BGO524395 BQK524391:BQK524395 CAG524391:CAG524395 CKC524391:CKC524395 CTY524391:CTY524395 DDU524391:DDU524395 DNQ524391:DNQ524395 DXM524391:DXM524395 EHI524391:EHI524395 ERE524391:ERE524395 FBA524391:FBA524395 FKW524391:FKW524395 FUS524391:FUS524395 GEO524391:GEO524395 GOK524391:GOK524395 GYG524391:GYG524395 HIC524391:HIC524395 HRY524391:HRY524395 IBU524391:IBU524395 ILQ524391:ILQ524395 IVM524391:IVM524395 JFI524391:JFI524395 JPE524391:JPE524395 JZA524391:JZA524395 KIW524391:KIW524395 KSS524391:KSS524395 LCO524391:LCO524395 LMK524391:LMK524395 LWG524391:LWG524395 MGC524391:MGC524395 MPY524391:MPY524395 MZU524391:MZU524395 NJQ524391:NJQ524395 NTM524391:NTM524395 ODI524391:ODI524395 ONE524391:ONE524395 OXA524391:OXA524395 PGW524391:PGW524395 PQS524391:PQS524395 QAO524391:QAO524395 QKK524391:QKK524395 QUG524391:QUG524395 REC524391:REC524395 RNY524391:RNY524395 RXU524391:RXU524395 SHQ524391:SHQ524395 SRM524391:SRM524395 TBI524391:TBI524395 TLE524391:TLE524395 TVA524391:TVA524395 UEW524391:UEW524395 UOS524391:UOS524395 UYO524391:UYO524395 VIK524391:VIK524395 VSG524391:VSG524395 WCC524391:WCC524395 WLY524391:WLY524395 WVU524391:WVU524395 M589927:M589931 JI589927:JI589931 TE589927:TE589931 ADA589927:ADA589931 AMW589927:AMW589931 AWS589927:AWS589931 BGO589927:BGO589931 BQK589927:BQK589931 CAG589927:CAG589931 CKC589927:CKC589931 CTY589927:CTY589931 DDU589927:DDU589931 DNQ589927:DNQ589931 DXM589927:DXM589931 EHI589927:EHI589931 ERE589927:ERE589931 FBA589927:FBA589931 FKW589927:FKW589931 FUS589927:FUS589931 GEO589927:GEO589931 GOK589927:GOK589931 GYG589927:GYG589931 HIC589927:HIC589931 HRY589927:HRY589931 IBU589927:IBU589931 ILQ589927:ILQ589931 IVM589927:IVM589931 JFI589927:JFI589931 JPE589927:JPE589931 JZA589927:JZA589931 KIW589927:KIW589931 KSS589927:KSS589931 LCO589927:LCO589931 LMK589927:LMK589931 LWG589927:LWG589931 MGC589927:MGC589931 MPY589927:MPY589931 MZU589927:MZU589931 NJQ589927:NJQ589931 NTM589927:NTM589931 ODI589927:ODI589931 ONE589927:ONE589931 OXA589927:OXA589931 PGW589927:PGW589931 PQS589927:PQS589931 QAO589927:QAO589931 QKK589927:QKK589931 QUG589927:QUG589931 REC589927:REC589931 RNY589927:RNY589931 RXU589927:RXU589931 SHQ589927:SHQ589931 SRM589927:SRM589931 TBI589927:TBI589931 TLE589927:TLE589931 TVA589927:TVA589931 UEW589927:UEW589931 UOS589927:UOS589931 UYO589927:UYO589931 VIK589927:VIK589931 VSG589927:VSG589931 WCC589927:WCC589931 WLY589927:WLY589931 WVU589927:WVU589931 M655463:M655467 JI655463:JI655467 TE655463:TE655467 ADA655463:ADA655467 AMW655463:AMW655467 AWS655463:AWS655467 BGO655463:BGO655467 BQK655463:BQK655467 CAG655463:CAG655467 CKC655463:CKC655467 CTY655463:CTY655467 DDU655463:DDU655467 DNQ655463:DNQ655467 DXM655463:DXM655467 EHI655463:EHI655467 ERE655463:ERE655467 FBA655463:FBA655467 FKW655463:FKW655467 FUS655463:FUS655467 GEO655463:GEO655467 GOK655463:GOK655467 GYG655463:GYG655467 HIC655463:HIC655467 HRY655463:HRY655467 IBU655463:IBU655467 ILQ655463:ILQ655467 IVM655463:IVM655467 JFI655463:JFI655467 JPE655463:JPE655467 JZA655463:JZA655467 KIW655463:KIW655467 KSS655463:KSS655467 LCO655463:LCO655467 LMK655463:LMK655467 LWG655463:LWG655467 MGC655463:MGC655467 MPY655463:MPY655467 MZU655463:MZU655467 NJQ655463:NJQ655467 NTM655463:NTM655467 ODI655463:ODI655467 ONE655463:ONE655467 OXA655463:OXA655467 PGW655463:PGW655467 PQS655463:PQS655467 QAO655463:QAO655467 QKK655463:QKK655467 QUG655463:QUG655467 REC655463:REC655467 RNY655463:RNY655467 RXU655463:RXU655467 SHQ655463:SHQ655467 SRM655463:SRM655467 TBI655463:TBI655467 TLE655463:TLE655467 TVA655463:TVA655467 UEW655463:UEW655467 UOS655463:UOS655467 UYO655463:UYO655467 VIK655463:VIK655467 VSG655463:VSG655467 WCC655463:WCC655467 WLY655463:WLY655467 WVU655463:WVU655467 M720999:M721003 JI720999:JI721003 TE720999:TE721003 ADA720999:ADA721003 AMW720999:AMW721003 AWS720999:AWS721003 BGO720999:BGO721003 BQK720999:BQK721003 CAG720999:CAG721003 CKC720999:CKC721003 CTY720999:CTY721003 DDU720999:DDU721003 DNQ720999:DNQ721003 DXM720999:DXM721003 EHI720999:EHI721003 ERE720999:ERE721003 FBA720999:FBA721003 FKW720999:FKW721003 FUS720999:FUS721003 GEO720999:GEO721003 GOK720999:GOK721003 GYG720999:GYG721003 HIC720999:HIC721003 HRY720999:HRY721003 IBU720999:IBU721003 ILQ720999:ILQ721003 IVM720999:IVM721003 JFI720999:JFI721003 JPE720999:JPE721003 JZA720999:JZA721003 KIW720999:KIW721003 KSS720999:KSS721003 LCO720999:LCO721003 LMK720999:LMK721003 LWG720999:LWG721003 MGC720999:MGC721003 MPY720999:MPY721003 MZU720999:MZU721003 NJQ720999:NJQ721003 NTM720999:NTM721003 ODI720999:ODI721003 ONE720999:ONE721003 OXA720999:OXA721003 PGW720999:PGW721003 PQS720999:PQS721003 QAO720999:QAO721003 QKK720999:QKK721003 QUG720999:QUG721003 REC720999:REC721003 RNY720999:RNY721003 RXU720999:RXU721003 SHQ720999:SHQ721003 SRM720999:SRM721003 TBI720999:TBI721003 TLE720999:TLE721003 TVA720999:TVA721003 UEW720999:UEW721003 UOS720999:UOS721003 UYO720999:UYO721003 VIK720999:VIK721003 VSG720999:VSG721003 WCC720999:WCC721003 WLY720999:WLY721003 WVU720999:WVU721003 M786535:M786539 JI786535:JI786539 TE786535:TE786539 ADA786535:ADA786539 AMW786535:AMW786539 AWS786535:AWS786539 BGO786535:BGO786539 BQK786535:BQK786539 CAG786535:CAG786539 CKC786535:CKC786539 CTY786535:CTY786539 DDU786535:DDU786539 DNQ786535:DNQ786539 DXM786535:DXM786539 EHI786535:EHI786539 ERE786535:ERE786539 FBA786535:FBA786539 FKW786535:FKW786539 FUS786535:FUS786539 GEO786535:GEO786539 GOK786535:GOK786539 GYG786535:GYG786539 HIC786535:HIC786539 HRY786535:HRY786539 IBU786535:IBU786539 ILQ786535:ILQ786539 IVM786535:IVM786539 JFI786535:JFI786539 JPE786535:JPE786539 JZA786535:JZA786539 KIW786535:KIW786539 KSS786535:KSS786539 LCO786535:LCO786539 LMK786535:LMK786539 LWG786535:LWG786539 MGC786535:MGC786539 MPY786535:MPY786539 MZU786535:MZU786539 NJQ786535:NJQ786539 NTM786535:NTM786539 ODI786535:ODI786539 ONE786535:ONE786539 OXA786535:OXA786539 PGW786535:PGW786539 PQS786535:PQS786539 QAO786535:QAO786539 QKK786535:QKK786539 QUG786535:QUG786539 REC786535:REC786539 RNY786535:RNY786539 RXU786535:RXU786539 SHQ786535:SHQ786539 SRM786535:SRM786539 TBI786535:TBI786539 TLE786535:TLE786539 TVA786535:TVA786539 UEW786535:UEW786539 UOS786535:UOS786539 UYO786535:UYO786539 VIK786535:VIK786539 VSG786535:VSG786539 WCC786535:WCC786539 WLY786535:WLY786539 WVU786535:WVU786539 M852071:M852075 JI852071:JI852075 TE852071:TE852075 ADA852071:ADA852075 AMW852071:AMW852075 AWS852071:AWS852075 BGO852071:BGO852075 BQK852071:BQK852075 CAG852071:CAG852075 CKC852071:CKC852075 CTY852071:CTY852075 DDU852071:DDU852075 DNQ852071:DNQ852075 DXM852071:DXM852075 EHI852071:EHI852075 ERE852071:ERE852075 FBA852071:FBA852075 FKW852071:FKW852075 FUS852071:FUS852075 GEO852071:GEO852075 GOK852071:GOK852075 GYG852071:GYG852075 HIC852071:HIC852075 HRY852071:HRY852075 IBU852071:IBU852075 ILQ852071:ILQ852075 IVM852071:IVM852075 JFI852071:JFI852075 JPE852071:JPE852075 JZA852071:JZA852075 KIW852071:KIW852075 KSS852071:KSS852075 LCO852071:LCO852075 LMK852071:LMK852075 LWG852071:LWG852075 MGC852071:MGC852075 MPY852071:MPY852075 MZU852071:MZU852075 NJQ852071:NJQ852075 NTM852071:NTM852075 ODI852071:ODI852075 ONE852071:ONE852075 OXA852071:OXA852075 PGW852071:PGW852075 PQS852071:PQS852075 QAO852071:QAO852075 QKK852071:QKK852075 QUG852071:QUG852075 REC852071:REC852075 RNY852071:RNY852075 RXU852071:RXU852075 SHQ852071:SHQ852075 SRM852071:SRM852075 TBI852071:TBI852075 TLE852071:TLE852075 TVA852071:TVA852075 UEW852071:UEW852075 UOS852071:UOS852075 UYO852071:UYO852075 VIK852071:VIK852075 VSG852071:VSG852075 WCC852071:WCC852075 WLY852071:WLY852075 WVU852071:WVU852075 M917607:M917611 JI917607:JI917611 TE917607:TE917611 ADA917607:ADA917611 AMW917607:AMW917611 AWS917607:AWS917611 BGO917607:BGO917611 BQK917607:BQK917611 CAG917607:CAG917611 CKC917607:CKC917611 CTY917607:CTY917611 DDU917607:DDU917611 DNQ917607:DNQ917611 DXM917607:DXM917611 EHI917607:EHI917611 ERE917607:ERE917611 FBA917607:FBA917611 FKW917607:FKW917611 FUS917607:FUS917611 GEO917607:GEO917611 GOK917607:GOK917611 GYG917607:GYG917611 HIC917607:HIC917611 HRY917607:HRY917611 IBU917607:IBU917611 ILQ917607:ILQ917611 IVM917607:IVM917611 JFI917607:JFI917611 JPE917607:JPE917611 JZA917607:JZA917611 KIW917607:KIW917611 KSS917607:KSS917611 LCO917607:LCO917611 LMK917607:LMK917611 LWG917607:LWG917611 MGC917607:MGC917611 MPY917607:MPY917611 MZU917607:MZU917611 NJQ917607:NJQ917611 NTM917607:NTM917611 ODI917607:ODI917611 ONE917607:ONE917611 OXA917607:OXA917611 PGW917607:PGW917611 PQS917607:PQS917611 QAO917607:QAO917611 QKK917607:QKK917611 QUG917607:QUG917611 REC917607:REC917611 RNY917607:RNY917611 RXU917607:RXU917611 SHQ917607:SHQ917611 SRM917607:SRM917611 TBI917607:TBI917611 TLE917607:TLE917611 TVA917607:TVA917611 UEW917607:UEW917611 UOS917607:UOS917611 UYO917607:UYO917611 VIK917607:VIK917611 VSG917607:VSG917611 WCC917607:WCC917611 WLY917607:WLY917611 WVU917607:WVU917611 M983143:M983147 JI983143:JI983147 TE983143:TE983147 ADA983143:ADA983147 AMW983143:AMW983147 AWS983143:AWS983147 BGO983143:BGO983147 BQK983143:BQK983147 CAG983143:CAG983147 CKC983143:CKC983147 CTY983143:CTY983147 DDU983143:DDU983147 DNQ983143:DNQ983147 DXM983143:DXM983147 EHI983143:EHI983147 ERE983143:ERE983147 FBA983143:FBA983147 FKW983143:FKW983147 FUS983143:FUS983147 GEO983143:GEO983147 GOK983143:GOK983147 GYG983143:GYG983147 HIC983143:HIC983147 HRY983143:HRY983147 IBU983143:IBU983147 ILQ983143:ILQ983147 IVM983143:IVM983147 JFI983143:JFI983147 JPE983143:JPE983147 JZA983143:JZA983147 KIW983143:KIW983147 KSS983143:KSS983147 LCO983143:LCO983147 LMK983143:LMK983147 LWG983143:LWG983147 MGC983143:MGC983147 MPY983143:MPY983147 MZU983143:MZU983147 NJQ983143:NJQ983147 NTM983143:NTM983147 ODI983143:ODI983147 ONE983143:ONE983147 OXA983143:OXA983147 PGW983143:PGW983147 PQS983143:PQS983147 QAO983143:QAO983147 QKK983143:QKK983147 QUG983143:QUG983147 REC983143:REC983147 RNY983143:RNY983147 RXU983143:RXU983147 SHQ983143:SHQ983147 SRM983143:SRM983147 TBI983143:TBI983147 TLE983143:TLE983147 TVA983143:TVA983147 UEW983143:UEW983147 UOS983143:UOS983147 UYO983143:UYO983147 VIK983143:VIK983147 VSG983143:VSG983147 WCC983143:WCC983147 WLY983143:WLY983147 WVU983143:WVU983147 TO105:TO107 R65640:R65643 JN65640:JN65643 TJ65640:TJ65643 ADF65640:ADF65643 ANB65640:ANB65643 AWX65640:AWX65643 BGT65640:BGT65643 BQP65640:BQP65643 CAL65640:CAL65643 CKH65640:CKH65643 CUD65640:CUD65643 DDZ65640:DDZ65643 DNV65640:DNV65643 DXR65640:DXR65643 EHN65640:EHN65643 ERJ65640:ERJ65643 FBF65640:FBF65643 FLB65640:FLB65643 FUX65640:FUX65643 GET65640:GET65643 GOP65640:GOP65643 GYL65640:GYL65643 HIH65640:HIH65643 HSD65640:HSD65643 IBZ65640:IBZ65643 ILV65640:ILV65643 IVR65640:IVR65643 JFN65640:JFN65643 JPJ65640:JPJ65643 JZF65640:JZF65643 KJB65640:KJB65643 KSX65640:KSX65643 LCT65640:LCT65643 LMP65640:LMP65643 LWL65640:LWL65643 MGH65640:MGH65643 MQD65640:MQD65643 MZZ65640:MZZ65643 NJV65640:NJV65643 NTR65640:NTR65643 ODN65640:ODN65643 ONJ65640:ONJ65643 OXF65640:OXF65643 PHB65640:PHB65643 PQX65640:PQX65643 QAT65640:QAT65643 QKP65640:QKP65643 QUL65640:QUL65643 REH65640:REH65643 ROD65640:ROD65643 RXZ65640:RXZ65643 SHV65640:SHV65643 SRR65640:SRR65643 TBN65640:TBN65643 TLJ65640:TLJ65643 TVF65640:TVF65643 UFB65640:UFB65643 UOX65640:UOX65643 UYT65640:UYT65643 VIP65640:VIP65643 VSL65640:VSL65643 WCH65640:WCH65643 WMD65640:WMD65643 WVZ65640:WVZ65643 R131176:R131179 JN131176:JN131179 TJ131176:TJ131179 ADF131176:ADF131179 ANB131176:ANB131179 AWX131176:AWX131179 BGT131176:BGT131179 BQP131176:BQP131179 CAL131176:CAL131179 CKH131176:CKH131179 CUD131176:CUD131179 DDZ131176:DDZ131179 DNV131176:DNV131179 DXR131176:DXR131179 EHN131176:EHN131179 ERJ131176:ERJ131179 FBF131176:FBF131179 FLB131176:FLB131179 FUX131176:FUX131179 GET131176:GET131179 GOP131176:GOP131179 GYL131176:GYL131179 HIH131176:HIH131179 HSD131176:HSD131179 IBZ131176:IBZ131179 ILV131176:ILV131179 IVR131176:IVR131179 JFN131176:JFN131179 JPJ131176:JPJ131179 JZF131176:JZF131179 KJB131176:KJB131179 KSX131176:KSX131179 LCT131176:LCT131179 LMP131176:LMP131179 LWL131176:LWL131179 MGH131176:MGH131179 MQD131176:MQD131179 MZZ131176:MZZ131179 NJV131176:NJV131179 NTR131176:NTR131179 ODN131176:ODN131179 ONJ131176:ONJ131179 OXF131176:OXF131179 PHB131176:PHB131179 PQX131176:PQX131179 QAT131176:QAT131179 QKP131176:QKP131179 QUL131176:QUL131179 REH131176:REH131179 ROD131176:ROD131179 RXZ131176:RXZ131179 SHV131176:SHV131179 SRR131176:SRR131179 TBN131176:TBN131179 TLJ131176:TLJ131179 TVF131176:TVF131179 UFB131176:UFB131179 UOX131176:UOX131179 UYT131176:UYT131179 VIP131176:VIP131179 VSL131176:VSL131179 WCH131176:WCH131179 WMD131176:WMD131179 WVZ131176:WVZ131179 R196712:R196715 JN196712:JN196715 TJ196712:TJ196715 ADF196712:ADF196715 ANB196712:ANB196715 AWX196712:AWX196715 BGT196712:BGT196715 BQP196712:BQP196715 CAL196712:CAL196715 CKH196712:CKH196715 CUD196712:CUD196715 DDZ196712:DDZ196715 DNV196712:DNV196715 DXR196712:DXR196715 EHN196712:EHN196715 ERJ196712:ERJ196715 FBF196712:FBF196715 FLB196712:FLB196715 FUX196712:FUX196715 GET196712:GET196715 GOP196712:GOP196715 GYL196712:GYL196715 HIH196712:HIH196715 HSD196712:HSD196715 IBZ196712:IBZ196715 ILV196712:ILV196715 IVR196712:IVR196715 JFN196712:JFN196715 JPJ196712:JPJ196715 JZF196712:JZF196715 KJB196712:KJB196715 KSX196712:KSX196715 LCT196712:LCT196715 LMP196712:LMP196715 LWL196712:LWL196715 MGH196712:MGH196715 MQD196712:MQD196715 MZZ196712:MZZ196715 NJV196712:NJV196715 NTR196712:NTR196715 ODN196712:ODN196715 ONJ196712:ONJ196715 OXF196712:OXF196715 PHB196712:PHB196715 PQX196712:PQX196715 QAT196712:QAT196715 QKP196712:QKP196715 QUL196712:QUL196715 REH196712:REH196715 ROD196712:ROD196715 RXZ196712:RXZ196715 SHV196712:SHV196715 SRR196712:SRR196715 TBN196712:TBN196715 TLJ196712:TLJ196715 TVF196712:TVF196715 UFB196712:UFB196715 UOX196712:UOX196715 UYT196712:UYT196715 VIP196712:VIP196715 VSL196712:VSL196715 WCH196712:WCH196715 WMD196712:WMD196715 WVZ196712:WVZ196715 R262248:R262251 JN262248:JN262251 TJ262248:TJ262251 ADF262248:ADF262251 ANB262248:ANB262251 AWX262248:AWX262251 BGT262248:BGT262251 BQP262248:BQP262251 CAL262248:CAL262251 CKH262248:CKH262251 CUD262248:CUD262251 DDZ262248:DDZ262251 DNV262248:DNV262251 DXR262248:DXR262251 EHN262248:EHN262251 ERJ262248:ERJ262251 FBF262248:FBF262251 FLB262248:FLB262251 FUX262248:FUX262251 GET262248:GET262251 GOP262248:GOP262251 GYL262248:GYL262251 HIH262248:HIH262251 HSD262248:HSD262251 IBZ262248:IBZ262251 ILV262248:ILV262251 IVR262248:IVR262251 JFN262248:JFN262251 JPJ262248:JPJ262251 JZF262248:JZF262251 KJB262248:KJB262251 KSX262248:KSX262251 LCT262248:LCT262251 LMP262248:LMP262251 LWL262248:LWL262251 MGH262248:MGH262251 MQD262248:MQD262251 MZZ262248:MZZ262251 NJV262248:NJV262251 NTR262248:NTR262251 ODN262248:ODN262251 ONJ262248:ONJ262251 OXF262248:OXF262251 PHB262248:PHB262251 PQX262248:PQX262251 QAT262248:QAT262251 QKP262248:QKP262251 QUL262248:QUL262251 REH262248:REH262251 ROD262248:ROD262251 RXZ262248:RXZ262251 SHV262248:SHV262251 SRR262248:SRR262251 TBN262248:TBN262251 TLJ262248:TLJ262251 TVF262248:TVF262251 UFB262248:UFB262251 UOX262248:UOX262251 UYT262248:UYT262251 VIP262248:VIP262251 VSL262248:VSL262251 WCH262248:WCH262251 WMD262248:WMD262251 WVZ262248:WVZ262251 R327784:R327787 JN327784:JN327787 TJ327784:TJ327787 ADF327784:ADF327787 ANB327784:ANB327787 AWX327784:AWX327787 BGT327784:BGT327787 BQP327784:BQP327787 CAL327784:CAL327787 CKH327784:CKH327787 CUD327784:CUD327787 DDZ327784:DDZ327787 DNV327784:DNV327787 DXR327784:DXR327787 EHN327784:EHN327787 ERJ327784:ERJ327787 FBF327784:FBF327787 FLB327784:FLB327787 FUX327784:FUX327787 GET327784:GET327787 GOP327784:GOP327787 GYL327784:GYL327787 HIH327784:HIH327787 HSD327784:HSD327787 IBZ327784:IBZ327787 ILV327784:ILV327787 IVR327784:IVR327787 JFN327784:JFN327787 JPJ327784:JPJ327787 JZF327784:JZF327787 KJB327784:KJB327787 KSX327784:KSX327787 LCT327784:LCT327787 LMP327784:LMP327787 LWL327784:LWL327787 MGH327784:MGH327787 MQD327784:MQD327787 MZZ327784:MZZ327787 NJV327784:NJV327787 NTR327784:NTR327787 ODN327784:ODN327787 ONJ327784:ONJ327787 OXF327784:OXF327787 PHB327784:PHB327787 PQX327784:PQX327787 QAT327784:QAT327787 QKP327784:QKP327787 QUL327784:QUL327787 REH327784:REH327787 ROD327784:ROD327787 RXZ327784:RXZ327787 SHV327784:SHV327787 SRR327784:SRR327787 TBN327784:TBN327787 TLJ327784:TLJ327787 TVF327784:TVF327787 UFB327784:UFB327787 UOX327784:UOX327787 UYT327784:UYT327787 VIP327784:VIP327787 VSL327784:VSL327787 WCH327784:WCH327787 WMD327784:WMD327787 WVZ327784:WVZ327787 R393320:R393323 JN393320:JN393323 TJ393320:TJ393323 ADF393320:ADF393323 ANB393320:ANB393323 AWX393320:AWX393323 BGT393320:BGT393323 BQP393320:BQP393323 CAL393320:CAL393323 CKH393320:CKH393323 CUD393320:CUD393323 DDZ393320:DDZ393323 DNV393320:DNV393323 DXR393320:DXR393323 EHN393320:EHN393323 ERJ393320:ERJ393323 FBF393320:FBF393323 FLB393320:FLB393323 FUX393320:FUX393323 GET393320:GET393323 GOP393320:GOP393323 GYL393320:GYL393323 HIH393320:HIH393323 HSD393320:HSD393323 IBZ393320:IBZ393323 ILV393320:ILV393323 IVR393320:IVR393323 JFN393320:JFN393323 JPJ393320:JPJ393323 JZF393320:JZF393323 KJB393320:KJB393323 KSX393320:KSX393323 LCT393320:LCT393323 LMP393320:LMP393323 LWL393320:LWL393323 MGH393320:MGH393323 MQD393320:MQD393323 MZZ393320:MZZ393323 NJV393320:NJV393323 NTR393320:NTR393323 ODN393320:ODN393323 ONJ393320:ONJ393323 OXF393320:OXF393323 PHB393320:PHB393323 PQX393320:PQX393323 QAT393320:QAT393323 QKP393320:QKP393323 QUL393320:QUL393323 REH393320:REH393323 ROD393320:ROD393323 RXZ393320:RXZ393323 SHV393320:SHV393323 SRR393320:SRR393323 TBN393320:TBN393323 TLJ393320:TLJ393323 TVF393320:TVF393323 UFB393320:UFB393323 UOX393320:UOX393323 UYT393320:UYT393323 VIP393320:VIP393323 VSL393320:VSL393323 WCH393320:WCH393323 WMD393320:WMD393323 WVZ393320:WVZ393323 R458856:R458859 JN458856:JN458859 TJ458856:TJ458859 ADF458856:ADF458859 ANB458856:ANB458859 AWX458856:AWX458859 BGT458856:BGT458859 BQP458856:BQP458859 CAL458856:CAL458859 CKH458856:CKH458859 CUD458856:CUD458859 DDZ458856:DDZ458859 DNV458856:DNV458859 DXR458856:DXR458859 EHN458856:EHN458859 ERJ458856:ERJ458859 FBF458856:FBF458859 FLB458856:FLB458859 FUX458856:FUX458859 GET458856:GET458859 GOP458856:GOP458859 GYL458856:GYL458859 HIH458856:HIH458859 HSD458856:HSD458859 IBZ458856:IBZ458859 ILV458856:ILV458859 IVR458856:IVR458859 JFN458856:JFN458859 JPJ458856:JPJ458859 JZF458856:JZF458859 KJB458856:KJB458859 KSX458856:KSX458859 LCT458856:LCT458859 LMP458856:LMP458859 LWL458856:LWL458859 MGH458856:MGH458859 MQD458856:MQD458859 MZZ458856:MZZ458859 NJV458856:NJV458859 NTR458856:NTR458859 ODN458856:ODN458859 ONJ458856:ONJ458859 OXF458856:OXF458859 PHB458856:PHB458859 PQX458856:PQX458859 QAT458856:QAT458859 QKP458856:QKP458859 QUL458856:QUL458859 REH458856:REH458859 ROD458856:ROD458859 RXZ458856:RXZ458859 SHV458856:SHV458859 SRR458856:SRR458859 TBN458856:TBN458859 TLJ458856:TLJ458859 TVF458856:TVF458859 UFB458856:UFB458859 UOX458856:UOX458859 UYT458856:UYT458859 VIP458856:VIP458859 VSL458856:VSL458859 WCH458856:WCH458859 WMD458856:WMD458859 WVZ458856:WVZ458859 R524392:R524395 JN524392:JN524395 TJ524392:TJ524395 ADF524392:ADF524395 ANB524392:ANB524395 AWX524392:AWX524395 BGT524392:BGT524395 BQP524392:BQP524395 CAL524392:CAL524395 CKH524392:CKH524395 CUD524392:CUD524395 DDZ524392:DDZ524395 DNV524392:DNV524395 DXR524392:DXR524395 EHN524392:EHN524395 ERJ524392:ERJ524395 FBF524392:FBF524395 FLB524392:FLB524395 FUX524392:FUX524395 GET524392:GET524395 GOP524392:GOP524395 GYL524392:GYL524395 HIH524392:HIH524395 HSD524392:HSD524395 IBZ524392:IBZ524395 ILV524392:ILV524395 IVR524392:IVR524395 JFN524392:JFN524395 JPJ524392:JPJ524395 JZF524392:JZF524395 KJB524392:KJB524395 KSX524392:KSX524395 LCT524392:LCT524395 LMP524392:LMP524395 LWL524392:LWL524395 MGH524392:MGH524395 MQD524392:MQD524395 MZZ524392:MZZ524395 NJV524392:NJV524395 NTR524392:NTR524395 ODN524392:ODN524395 ONJ524392:ONJ524395 OXF524392:OXF524395 PHB524392:PHB524395 PQX524392:PQX524395 QAT524392:QAT524395 QKP524392:QKP524395 QUL524392:QUL524395 REH524392:REH524395 ROD524392:ROD524395 RXZ524392:RXZ524395 SHV524392:SHV524395 SRR524392:SRR524395 TBN524392:TBN524395 TLJ524392:TLJ524395 TVF524392:TVF524395 UFB524392:UFB524395 UOX524392:UOX524395 UYT524392:UYT524395 VIP524392:VIP524395 VSL524392:VSL524395 WCH524392:WCH524395 WMD524392:WMD524395 WVZ524392:WVZ524395 R589928:R589931 JN589928:JN589931 TJ589928:TJ589931 ADF589928:ADF589931 ANB589928:ANB589931 AWX589928:AWX589931 BGT589928:BGT589931 BQP589928:BQP589931 CAL589928:CAL589931 CKH589928:CKH589931 CUD589928:CUD589931 DDZ589928:DDZ589931 DNV589928:DNV589931 DXR589928:DXR589931 EHN589928:EHN589931 ERJ589928:ERJ589931 FBF589928:FBF589931 FLB589928:FLB589931 FUX589928:FUX589931 GET589928:GET589931 GOP589928:GOP589931 GYL589928:GYL589931 HIH589928:HIH589931 HSD589928:HSD589931 IBZ589928:IBZ589931 ILV589928:ILV589931 IVR589928:IVR589931 JFN589928:JFN589931 JPJ589928:JPJ589931 JZF589928:JZF589931 KJB589928:KJB589931 KSX589928:KSX589931 LCT589928:LCT589931 LMP589928:LMP589931 LWL589928:LWL589931 MGH589928:MGH589931 MQD589928:MQD589931 MZZ589928:MZZ589931 NJV589928:NJV589931 NTR589928:NTR589931 ODN589928:ODN589931 ONJ589928:ONJ589931 OXF589928:OXF589931 PHB589928:PHB589931 PQX589928:PQX589931 QAT589928:QAT589931 QKP589928:QKP589931 QUL589928:QUL589931 REH589928:REH589931 ROD589928:ROD589931 RXZ589928:RXZ589931 SHV589928:SHV589931 SRR589928:SRR589931 TBN589928:TBN589931 TLJ589928:TLJ589931 TVF589928:TVF589931 UFB589928:UFB589931 UOX589928:UOX589931 UYT589928:UYT589931 VIP589928:VIP589931 VSL589928:VSL589931 WCH589928:WCH589931 WMD589928:WMD589931 WVZ589928:WVZ589931 R655464:R655467 JN655464:JN655467 TJ655464:TJ655467 ADF655464:ADF655467 ANB655464:ANB655467 AWX655464:AWX655467 BGT655464:BGT655467 BQP655464:BQP655467 CAL655464:CAL655467 CKH655464:CKH655467 CUD655464:CUD655467 DDZ655464:DDZ655467 DNV655464:DNV655467 DXR655464:DXR655467 EHN655464:EHN655467 ERJ655464:ERJ655467 FBF655464:FBF655467 FLB655464:FLB655467 FUX655464:FUX655467 GET655464:GET655467 GOP655464:GOP655467 GYL655464:GYL655467 HIH655464:HIH655467 HSD655464:HSD655467 IBZ655464:IBZ655467 ILV655464:ILV655467 IVR655464:IVR655467 JFN655464:JFN655467 JPJ655464:JPJ655467 JZF655464:JZF655467 KJB655464:KJB655467 KSX655464:KSX655467 LCT655464:LCT655467 LMP655464:LMP655467 LWL655464:LWL655467 MGH655464:MGH655467 MQD655464:MQD655467 MZZ655464:MZZ655467 NJV655464:NJV655467 NTR655464:NTR655467 ODN655464:ODN655467 ONJ655464:ONJ655467 OXF655464:OXF655467 PHB655464:PHB655467 PQX655464:PQX655467 QAT655464:QAT655467 QKP655464:QKP655467 QUL655464:QUL655467 REH655464:REH655467 ROD655464:ROD655467 RXZ655464:RXZ655467 SHV655464:SHV655467 SRR655464:SRR655467 TBN655464:TBN655467 TLJ655464:TLJ655467 TVF655464:TVF655467 UFB655464:UFB655467 UOX655464:UOX655467 UYT655464:UYT655467 VIP655464:VIP655467 VSL655464:VSL655467 WCH655464:WCH655467 WMD655464:WMD655467 WVZ655464:WVZ655467 R721000:R721003 JN721000:JN721003 TJ721000:TJ721003 ADF721000:ADF721003 ANB721000:ANB721003 AWX721000:AWX721003 BGT721000:BGT721003 BQP721000:BQP721003 CAL721000:CAL721003 CKH721000:CKH721003 CUD721000:CUD721003 DDZ721000:DDZ721003 DNV721000:DNV721003 DXR721000:DXR721003 EHN721000:EHN721003 ERJ721000:ERJ721003 FBF721000:FBF721003 FLB721000:FLB721003 FUX721000:FUX721003 GET721000:GET721003 GOP721000:GOP721003 GYL721000:GYL721003 HIH721000:HIH721003 HSD721000:HSD721003 IBZ721000:IBZ721003 ILV721000:ILV721003 IVR721000:IVR721003 JFN721000:JFN721003 JPJ721000:JPJ721003 JZF721000:JZF721003 KJB721000:KJB721003 KSX721000:KSX721003 LCT721000:LCT721003 LMP721000:LMP721003 LWL721000:LWL721003 MGH721000:MGH721003 MQD721000:MQD721003 MZZ721000:MZZ721003 NJV721000:NJV721003 NTR721000:NTR721003 ODN721000:ODN721003 ONJ721000:ONJ721003 OXF721000:OXF721003 PHB721000:PHB721003 PQX721000:PQX721003 QAT721000:QAT721003 QKP721000:QKP721003 QUL721000:QUL721003 REH721000:REH721003 ROD721000:ROD721003 RXZ721000:RXZ721003 SHV721000:SHV721003 SRR721000:SRR721003 TBN721000:TBN721003 TLJ721000:TLJ721003 TVF721000:TVF721003 UFB721000:UFB721003 UOX721000:UOX721003 UYT721000:UYT721003 VIP721000:VIP721003 VSL721000:VSL721003 WCH721000:WCH721003 WMD721000:WMD721003 WVZ721000:WVZ721003 R786536:R786539 JN786536:JN786539 TJ786536:TJ786539 ADF786536:ADF786539 ANB786536:ANB786539 AWX786536:AWX786539 BGT786536:BGT786539 BQP786536:BQP786539 CAL786536:CAL786539 CKH786536:CKH786539 CUD786536:CUD786539 DDZ786536:DDZ786539 DNV786536:DNV786539 DXR786536:DXR786539 EHN786536:EHN786539 ERJ786536:ERJ786539 FBF786536:FBF786539 FLB786536:FLB786539 FUX786536:FUX786539 GET786536:GET786539 GOP786536:GOP786539 GYL786536:GYL786539 HIH786536:HIH786539 HSD786536:HSD786539 IBZ786536:IBZ786539 ILV786536:ILV786539 IVR786536:IVR786539 JFN786536:JFN786539 JPJ786536:JPJ786539 JZF786536:JZF786539 KJB786536:KJB786539 KSX786536:KSX786539 LCT786536:LCT786539 LMP786536:LMP786539 LWL786536:LWL786539 MGH786536:MGH786539 MQD786536:MQD786539 MZZ786536:MZZ786539 NJV786536:NJV786539 NTR786536:NTR786539 ODN786536:ODN786539 ONJ786536:ONJ786539 OXF786536:OXF786539 PHB786536:PHB786539 PQX786536:PQX786539 QAT786536:QAT786539 QKP786536:QKP786539 QUL786536:QUL786539 REH786536:REH786539 ROD786536:ROD786539 RXZ786536:RXZ786539 SHV786536:SHV786539 SRR786536:SRR786539 TBN786536:TBN786539 TLJ786536:TLJ786539 TVF786536:TVF786539 UFB786536:UFB786539 UOX786536:UOX786539 UYT786536:UYT786539 VIP786536:VIP786539 VSL786536:VSL786539 WCH786536:WCH786539 WMD786536:WMD786539 WVZ786536:WVZ786539 R852072:R852075 JN852072:JN852075 TJ852072:TJ852075 ADF852072:ADF852075 ANB852072:ANB852075 AWX852072:AWX852075 BGT852072:BGT852075 BQP852072:BQP852075 CAL852072:CAL852075 CKH852072:CKH852075 CUD852072:CUD852075 DDZ852072:DDZ852075 DNV852072:DNV852075 DXR852072:DXR852075 EHN852072:EHN852075 ERJ852072:ERJ852075 FBF852072:FBF852075 FLB852072:FLB852075 FUX852072:FUX852075 GET852072:GET852075 GOP852072:GOP852075 GYL852072:GYL852075 HIH852072:HIH852075 HSD852072:HSD852075 IBZ852072:IBZ852075 ILV852072:ILV852075 IVR852072:IVR852075 JFN852072:JFN852075 JPJ852072:JPJ852075 JZF852072:JZF852075 KJB852072:KJB852075 KSX852072:KSX852075 LCT852072:LCT852075 LMP852072:LMP852075 LWL852072:LWL852075 MGH852072:MGH852075 MQD852072:MQD852075 MZZ852072:MZZ852075 NJV852072:NJV852075 NTR852072:NTR852075 ODN852072:ODN852075 ONJ852072:ONJ852075 OXF852072:OXF852075 PHB852072:PHB852075 PQX852072:PQX852075 QAT852072:QAT852075 QKP852072:QKP852075 QUL852072:QUL852075 REH852072:REH852075 ROD852072:ROD852075 RXZ852072:RXZ852075 SHV852072:SHV852075 SRR852072:SRR852075 TBN852072:TBN852075 TLJ852072:TLJ852075 TVF852072:TVF852075 UFB852072:UFB852075 UOX852072:UOX852075 UYT852072:UYT852075 VIP852072:VIP852075 VSL852072:VSL852075 WCH852072:WCH852075 WMD852072:WMD852075 WVZ852072:WVZ852075 R917608:R917611 JN917608:JN917611 TJ917608:TJ917611 ADF917608:ADF917611 ANB917608:ANB917611 AWX917608:AWX917611 BGT917608:BGT917611 BQP917608:BQP917611 CAL917608:CAL917611 CKH917608:CKH917611 CUD917608:CUD917611 DDZ917608:DDZ917611 DNV917608:DNV917611 DXR917608:DXR917611 EHN917608:EHN917611 ERJ917608:ERJ917611 FBF917608:FBF917611 FLB917608:FLB917611 FUX917608:FUX917611 GET917608:GET917611 GOP917608:GOP917611 GYL917608:GYL917611 HIH917608:HIH917611 HSD917608:HSD917611 IBZ917608:IBZ917611 ILV917608:ILV917611 IVR917608:IVR917611 JFN917608:JFN917611 JPJ917608:JPJ917611 JZF917608:JZF917611 KJB917608:KJB917611 KSX917608:KSX917611 LCT917608:LCT917611 LMP917608:LMP917611 LWL917608:LWL917611 MGH917608:MGH917611 MQD917608:MQD917611 MZZ917608:MZZ917611 NJV917608:NJV917611 NTR917608:NTR917611 ODN917608:ODN917611 ONJ917608:ONJ917611 OXF917608:OXF917611 PHB917608:PHB917611 PQX917608:PQX917611 QAT917608:QAT917611 QKP917608:QKP917611 QUL917608:QUL917611 REH917608:REH917611 ROD917608:ROD917611 RXZ917608:RXZ917611 SHV917608:SHV917611 SRR917608:SRR917611 TBN917608:TBN917611 TLJ917608:TLJ917611 TVF917608:TVF917611 UFB917608:UFB917611 UOX917608:UOX917611 UYT917608:UYT917611 VIP917608:VIP917611 VSL917608:VSL917611 WCH917608:WCH917611 WMD917608:WMD917611 WVZ917608:WVZ917611 R983144:R983147 JN983144:JN983147 TJ983144:TJ983147 ADF983144:ADF983147 ANB983144:ANB983147 AWX983144:AWX983147 BGT983144:BGT983147 BQP983144:BQP983147 CAL983144:CAL983147 CKH983144:CKH983147 CUD983144:CUD983147 DDZ983144:DDZ983147 DNV983144:DNV983147 DXR983144:DXR983147 EHN983144:EHN983147 ERJ983144:ERJ983147 FBF983144:FBF983147 FLB983144:FLB983147 FUX983144:FUX983147 GET983144:GET983147 GOP983144:GOP983147 GYL983144:GYL983147 HIH983144:HIH983147 HSD983144:HSD983147 IBZ983144:IBZ983147 ILV983144:ILV983147 IVR983144:IVR983147 JFN983144:JFN983147 JPJ983144:JPJ983147 JZF983144:JZF983147 KJB983144:KJB983147 KSX983144:KSX983147 LCT983144:LCT983147 LMP983144:LMP983147 LWL983144:LWL983147 MGH983144:MGH983147 MQD983144:MQD983147 MZZ983144:MZZ983147 NJV983144:NJV983147 NTR983144:NTR983147 ODN983144:ODN983147 ONJ983144:ONJ983147 OXF983144:OXF983147 PHB983144:PHB983147 PQX983144:PQX983147 QAT983144:QAT983147 QKP983144:QKP983147 QUL983144:QUL983147 REH983144:REH983147 ROD983144:ROD983147 RXZ983144:RXZ983147 SHV983144:SHV983147 SRR983144:SRR983147 TBN983144:TBN983147 TLJ983144:TLJ983147 TVF983144:TVF983147 UFB983144:UFB983147 UOX983144:UOX983147 UYT983144:UYT983147 VIP983144:VIP983147 VSL983144:VSL983147 WCH983144:WCH983147 WMD983144:WMD983147 WVZ983144:WVZ983147 SHK983143 H65610:H65616 JD65610:JD65616 SZ65610:SZ65616 ACV65610:ACV65616 AMR65610:AMR65616 AWN65610:AWN65616 BGJ65610:BGJ65616 BQF65610:BQF65616 CAB65610:CAB65616 CJX65610:CJX65616 CTT65610:CTT65616 DDP65610:DDP65616 DNL65610:DNL65616 DXH65610:DXH65616 EHD65610:EHD65616 EQZ65610:EQZ65616 FAV65610:FAV65616 FKR65610:FKR65616 FUN65610:FUN65616 GEJ65610:GEJ65616 GOF65610:GOF65616 GYB65610:GYB65616 HHX65610:HHX65616 HRT65610:HRT65616 IBP65610:IBP65616 ILL65610:ILL65616 IVH65610:IVH65616 JFD65610:JFD65616 JOZ65610:JOZ65616 JYV65610:JYV65616 KIR65610:KIR65616 KSN65610:KSN65616 LCJ65610:LCJ65616 LMF65610:LMF65616 LWB65610:LWB65616 MFX65610:MFX65616 MPT65610:MPT65616 MZP65610:MZP65616 NJL65610:NJL65616 NTH65610:NTH65616 ODD65610:ODD65616 OMZ65610:OMZ65616 OWV65610:OWV65616 PGR65610:PGR65616 PQN65610:PQN65616 QAJ65610:QAJ65616 QKF65610:QKF65616 QUB65610:QUB65616 RDX65610:RDX65616 RNT65610:RNT65616 RXP65610:RXP65616 SHL65610:SHL65616 SRH65610:SRH65616 TBD65610:TBD65616 TKZ65610:TKZ65616 TUV65610:TUV65616 UER65610:UER65616 UON65610:UON65616 UYJ65610:UYJ65616 VIF65610:VIF65616 VSB65610:VSB65616 WBX65610:WBX65616 WLT65610:WLT65616 WVP65610:WVP65616 H131146:H131152 JD131146:JD131152 SZ131146:SZ131152 ACV131146:ACV131152 AMR131146:AMR131152 AWN131146:AWN131152 BGJ131146:BGJ131152 BQF131146:BQF131152 CAB131146:CAB131152 CJX131146:CJX131152 CTT131146:CTT131152 DDP131146:DDP131152 DNL131146:DNL131152 DXH131146:DXH131152 EHD131146:EHD131152 EQZ131146:EQZ131152 FAV131146:FAV131152 FKR131146:FKR131152 FUN131146:FUN131152 GEJ131146:GEJ131152 GOF131146:GOF131152 GYB131146:GYB131152 HHX131146:HHX131152 HRT131146:HRT131152 IBP131146:IBP131152 ILL131146:ILL131152 IVH131146:IVH131152 JFD131146:JFD131152 JOZ131146:JOZ131152 JYV131146:JYV131152 KIR131146:KIR131152 KSN131146:KSN131152 LCJ131146:LCJ131152 LMF131146:LMF131152 LWB131146:LWB131152 MFX131146:MFX131152 MPT131146:MPT131152 MZP131146:MZP131152 NJL131146:NJL131152 NTH131146:NTH131152 ODD131146:ODD131152 OMZ131146:OMZ131152 OWV131146:OWV131152 PGR131146:PGR131152 PQN131146:PQN131152 QAJ131146:QAJ131152 QKF131146:QKF131152 QUB131146:QUB131152 RDX131146:RDX131152 RNT131146:RNT131152 RXP131146:RXP131152 SHL131146:SHL131152 SRH131146:SRH131152 TBD131146:TBD131152 TKZ131146:TKZ131152 TUV131146:TUV131152 UER131146:UER131152 UON131146:UON131152 UYJ131146:UYJ131152 VIF131146:VIF131152 VSB131146:VSB131152 WBX131146:WBX131152 WLT131146:WLT131152 WVP131146:WVP131152 H196682:H196688 JD196682:JD196688 SZ196682:SZ196688 ACV196682:ACV196688 AMR196682:AMR196688 AWN196682:AWN196688 BGJ196682:BGJ196688 BQF196682:BQF196688 CAB196682:CAB196688 CJX196682:CJX196688 CTT196682:CTT196688 DDP196682:DDP196688 DNL196682:DNL196688 DXH196682:DXH196688 EHD196682:EHD196688 EQZ196682:EQZ196688 FAV196682:FAV196688 FKR196682:FKR196688 FUN196682:FUN196688 GEJ196682:GEJ196688 GOF196682:GOF196688 GYB196682:GYB196688 HHX196682:HHX196688 HRT196682:HRT196688 IBP196682:IBP196688 ILL196682:ILL196688 IVH196682:IVH196688 JFD196682:JFD196688 JOZ196682:JOZ196688 JYV196682:JYV196688 KIR196682:KIR196688 KSN196682:KSN196688 LCJ196682:LCJ196688 LMF196682:LMF196688 LWB196682:LWB196688 MFX196682:MFX196688 MPT196682:MPT196688 MZP196682:MZP196688 NJL196682:NJL196688 NTH196682:NTH196688 ODD196682:ODD196688 OMZ196682:OMZ196688 OWV196682:OWV196688 PGR196682:PGR196688 PQN196682:PQN196688 QAJ196682:QAJ196688 QKF196682:QKF196688 QUB196682:QUB196688 RDX196682:RDX196688 RNT196682:RNT196688 RXP196682:RXP196688 SHL196682:SHL196688 SRH196682:SRH196688 TBD196682:TBD196688 TKZ196682:TKZ196688 TUV196682:TUV196688 UER196682:UER196688 UON196682:UON196688 UYJ196682:UYJ196688 VIF196682:VIF196688 VSB196682:VSB196688 WBX196682:WBX196688 WLT196682:WLT196688 WVP196682:WVP196688 H262218:H262224 JD262218:JD262224 SZ262218:SZ262224 ACV262218:ACV262224 AMR262218:AMR262224 AWN262218:AWN262224 BGJ262218:BGJ262224 BQF262218:BQF262224 CAB262218:CAB262224 CJX262218:CJX262224 CTT262218:CTT262224 DDP262218:DDP262224 DNL262218:DNL262224 DXH262218:DXH262224 EHD262218:EHD262224 EQZ262218:EQZ262224 FAV262218:FAV262224 FKR262218:FKR262224 FUN262218:FUN262224 GEJ262218:GEJ262224 GOF262218:GOF262224 GYB262218:GYB262224 HHX262218:HHX262224 HRT262218:HRT262224 IBP262218:IBP262224 ILL262218:ILL262224 IVH262218:IVH262224 JFD262218:JFD262224 JOZ262218:JOZ262224 JYV262218:JYV262224 KIR262218:KIR262224 KSN262218:KSN262224 LCJ262218:LCJ262224 LMF262218:LMF262224 LWB262218:LWB262224 MFX262218:MFX262224 MPT262218:MPT262224 MZP262218:MZP262224 NJL262218:NJL262224 NTH262218:NTH262224 ODD262218:ODD262224 OMZ262218:OMZ262224 OWV262218:OWV262224 PGR262218:PGR262224 PQN262218:PQN262224 QAJ262218:QAJ262224 QKF262218:QKF262224 QUB262218:QUB262224 RDX262218:RDX262224 RNT262218:RNT262224 RXP262218:RXP262224 SHL262218:SHL262224 SRH262218:SRH262224 TBD262218:TBD262224 TKZ262218:TKZ262224 TUV262218:TUV262224 UER262218:UER262224 UON262218:UON262224 UYJ262218:UYJ262224 VIF262218:VIF262224 VSB262218:VSB262224 WBX262218:WBX262224 WLT262218:WLT262224 WVP262218:WVP262224 H327754:H327760 JD327754:JD327760 SZ327754:SZ327760 ACV327754:ACV327760 AMR327754:AMR327760 AWN327754:AWN327760 BGJ327754:BGJ327760 BQF327754:BQF327760 CAB327754:CAB327760 CJX327754:CJX327760 CTT327754:CTT327760 DDP327754:DDP327760 DNL327754:DNL327760 DXH327754:DXH327760 EHD327754:EHD327760 EQZ327754:EQZ327760 FAV327754:FAV327760 FKR327754:FKR327760 FUN327754:FUN327760 GEJ327754:GEJ327760 GOF327754:GOF327760 GYB327754:GYB327760 HHX327754:HHX327760 HRT327754:HRT327760 IBP327754:IBP327760 ILL327754:ILL327760 IVH327754:IVH327760 JFD327754:JFD327760 JOZ327754:JOZ327760 JYV327754:JYV327760 KIR327754:KIR327760 KSN327754:KSN327760 LCJ327754:LCJ327760 LMF327754:LMF327760 LWB327754:LWB327760 MFX327754:MFX327760 MPT327754:MPT327760 MZP327754:MZP327760 NJL327754:NJL327760 NTH327754:NTH327760 ODD327754:ODD327760 OMZ327754:OMZ327760 OWV327754:OWV327760 PGR327754:PGR327760 PQN327754:PQN327760 QAJ327754:QAJ327760 QKF327754:QKF327760 QUB327754:QUB327760 RDX327754:RDX327760 RNT327754:RNT327760 RXP327754:RXP327760 SHL327754:SHL327760 SRH327754:SRH327760 TBD327754:TBD327760 TKZ327754:TKZ327760 TUV327754:TUV327760 UER327754:UER327760 UON327754:UON327760 UYJ327754:UYJ327760 VIF327754:VIF327760 VSB327754:VSB327760 WBX327754:WBX327760 WLT327754:WLT327760 WVP327754:WVP327760 H393290:H393296 JD393290:JD393296 SZ393290:SZ393296 ACV393290:ACV393296 AMR393290:AMR393296 AWN393290:AWN393296 BGJ393290:BGJ393296 BQF393290:BQF393296 CAB393290:CAB393296 CJX393290:CJX393296 CTT393290:CTT393296 DDP393290:DDP393296 DNL393290:DNL393296 DXH393290:DXH393296 EHD393290:EHD393296 EQZ393290:EQZ393296 FAV393290:FAV393296 FKR393290:FKR393296 FUN393290:FUN393296 GEJ393290:GEJ393296 GOF393290:GOF393296 GYB393290:GYB393296 HHX393290:HHX393296 HRT393290:HRT393296 IBP393290:IBP393296 ILL393290:ILL393296 IVH393290:IVH393296 JFD393290:JFD393296 JOZ393290:JOZ393296 JYV393290:JYV393296 KIR393290:KIR393296 KSN393290:KSN393296 LCJ393290:LCJ393296 LMF393290:LMF393296 LWB393290:LWB393296 MFX393290:MFX393296 MPT393290:MPT393296 MZP393290:MZP393296 NJL393290:NJL393296 NTH393290:NTH393296 ODD393290:ODD393296 OMZ393290:OMZ393296 OWV393290:OWV393296 PGR393290:PGR393296 PQN393290:PQN393296 QAJ393290:QAJ393296 QKF393290:QKF393296 QUB393290:QUB393296 RDX393290:RDX393296 RNT393290:RNT393296 RXP393290:RXP393296 SHL393290:SHL393296 SRH393290:SRH393296 TBD393290:TBD393296 TKZ393290:TKZ393296 TUV393290:TUV393296 UER393290:UER393296 UON393290:UON393296 UYJ393290:UYJ393296 VIF393290:VIF393296 VSB393290:VSB393296 WBX393290:WBX393296 WLT393290:WLT393296 WVP393290:WVP393296 H458826:H458832 JD458826:JD458832 SZ458826:SZ458832 ACV458826:ACV458832 AMR458826:AMR458832 AWN458826:AWN458832 BGJ458826:BGJ458832 BQF458826:BQF458832 CAB458826:CAB458832 CJX458826:CJX458832 CTT458826:CTT458832 DDP458826:DDP458832 DNL458826:DNL458832 DXH458826:DXH458832 EHD458826:EHD458832 EQZ458826:EQZ458832 FAV458826:FAV458832 FKR458826:FKR458832 FUN458826:FUN458832 GEJ458826:GEJ458832 GOF458826:GOF458832 GYB458826:GYB458832 HHX458826:HHX458832 HRT458826:HRT458832 IBP458826:IBP458832 ILL458826:ILL458832 IVH458826:IVH458832 JFD458826:JFD458832 JOZ458826:JOZ458832 JYV458826:JYV458832 KIR458826:KIR458832 KSN458826:KSN458832 LCJ458826:LCJ458832 LMF458826:LMF458832 LWB458826:LWB458832 MFX458826:MFX458832 MPT458826:MPT458832 MZP458826:MZP458832 NJL458826:NJL458832 NTH458826:NTH458832 ODD458826:ODD458832 OMZ458826:OMZ458832 OWV458826:OWV458832 PGR458826:PGR458832 PQN458826:PQN458832 QAJ458826:QAJ458832 QKF458826:QKF458832 QUB458826:QUB458832 RDX458826:RDX458832 RNT458826:RNT458832 RXP458826:RXP458832 SHL458826:SHL458832 SRH458826:SRH458832 TBD458826:TBD458832 TKZ458826:TKZ458832 TUV458826:TUV458832 UER458826:UER458832 UON458826:UON458832 UYJ458826:UYJ458832 VIF458826:VIF458832 VSB458826:VSB458832 WBX458826:WBX458832 WLT458826:WLT458832 WVP458826:WVP458832 H524362:H524368 JD524362:JD524368 SZ524362:SZ524368 ACV524362:ACV524368 AMR524362:AMR524368 AWN524362:AWN524368 BGJ524362:BGJ524368 BQF524362:BQF524368 CAB524362:CAB524368 CJX524362:CJX524368 CTT524362:CTT524368 DDP524362:DDP524368 DNL524362:DNL524368 DXH524362:DXH524368 EHD524362:EHD524368 EQZ524362:EQZ524368 FAV524362:FAV524368 FKR524362:FKR524368 FUN524362:FUN524368 GEJ524362:GEJ524368 GOF524362:GOF524368 GYB524362:GYB524368 HHX524362:HHX524368 HRT524362:HRT524368 IBP524362:IBP524368 ILL524362:ILL524368 IVH524362:IVH524368 JFD524362:JFD524368 JOZ524362:JOZ524368 JYV524362:JYV524368 KIR524362:KIR524368 KSN524362:KSN524368 LCJ524362:LCJ524368 LMF524362:LMF524368 LWB524362:LWB524368 MFX524362:MFX524368 MPT524362:MPT524368 MZP524362:MZP524368 NJL524362:NJL524368 NTH524362:NTH524368 ODD524362:ODD524368 OMZ524362:OMZ524368 OWV524362:OWV524368 PGR524362:PGR524368 PQN524362:PQN524368 QAJ524362:QAJ524368 QKF524362:QKF524368 QUB524362:QUB524368 RDX524362:RDX524368 RNT524362:RNT524368 RXP524362:RXP524368 SHL524362:SHL524368 SRH524362:SRH524368 TBD524362:TBD524368 TKZ524362:TKZ524368 TUV524362:TUV524368 UER524362:UER524368 UON524362:UON524368 UYJ524362:UYJ524368 VIF524362:VIF524368 VSB524362:VSB524368 WBX524362:WBX524368 WLT524362:WLT524368 WVP524362:WVP524368 H589898:H589904 JD589898:JD589904 SZ589898:SZ589904 ACV589898:ACV589904 AMR589898:AMR589904 AWN589898:AWN589904 BGJ589898:BGJ589904 BQF589898:BQF589904 CAB589898:CAB589904 CJX589898:CJX589904 CTT589898:CTT589904 DDP589898:DDP589904 DNL589898:DNL589904 DXH589898:DXH589904 EHD589898:EHD589904 EQZ589898:EQZ589904 FAV589898:FAV589904 FKR589898:FKR589904 FUN589898:FUN589904 GEJ589898:GEJ589904 GOF589898:GOF589904 GYB589898:GYB589904 HHX589898:HHX589904 HRT589898:HRT589904 IBP589898:IBP589904 ILL589898:ILL589904 IVH589898:IVH589904 JFD589898:JFD589904 JOZ589898:JOZ589904 JYV589898:JYV589904 KIR589898:KIR589904 KSN589898:KSN589904 LCJ589898:LCJ589904 LMF589898:LMF589904 LWB589898:LWB589904 MFX589898:MFX589904 MPT589898:MPT589904 MZP589898:MZP589904 NJL589898:NJL589904 NTH589898:NTH589904 ODD589898:ODD589904 OMZ589898:OMZ589904 OWV589898:OWV589904 PGR589898:PGR589904 PQN589898:PQN589904 QAJ589898:QAJ589904 QKF589898:QKF589904 QUB589898:QUB589904 RDX589898:RDX589904 RNT589898:RNT589904 RXP589898:RXP589904 SHL589898:SHL589904 SRH589898:SRH589904 TBD589898:TBD589904 TKZ589898:TKZ589904 TUV589898:TUV589904 UER589898:UER589904 UON589898:UON589904 UYJ589898:UYJ589904 VIF589898:VIF589904 VSB589898:VSB589904 WBX589898:WBX589904 WLT589898:WLT589904 WVP589898:WVP589904 H655434:H655440 JD655434:JD655440 SZ655434:SZ655440 ACV655434:ACV655440 AMR655434:AMR655440 AWN655434:AWN655440 BGJ655434:BGJ655440 BQF655434:BQF655440 CAB655434:CAB655440 CJX655434:CJX655440 CTT655434:CTT655440 DDP655434:DDP655440 DNL655434:DNL655440 DXH655434:DXH655440 EHD655434:EHD655440 EQZ655434:EQZ655440 FAV655434:FAV655440 FKR655434:FKR655440 FUN655434:FUN655440 GEJ655434:GEJ655440 GOF655434:GOF655440 GYB655434:GYB655440 HHX655434:HHX655440 HRT655434:HRT655440 IBP655434:IBP655440 ILL655434:ILL655440 IVH655434:IVH655440 JFD655434:JFD655440 JOZ655434:JOZ655440 JYV655434:JYV655440 KIR655434:KIR655440 KSN655434:KSN655440 LCJ655434:LCJ655440 LMF655434:LMF655440 LWB655434:LWB655440 MFX655434:MFX655440 MPT655434:MPT655440 MZP655434:MZP655440 NJL655434:NJL655440 NTH655434:NTH655440 ODD655434:ODD655440 OMZ655434:OMZ655440 OWV655434:OWV655440 PGR655434:PGR655440 PQN655434:PQN655440 QAJ655434:QAJ655440 QKF655434:QKF655440 QUB655434:QUB655440 RDX655434:RDX655440 RNT655434:RNT655440 RXP655434:RXP655440 SHL655434:SHL655440 SRH655434:SRH655440 TBD655434:TBD655440 TKZ655434:TKZ655440 TUV655434:TUV655440 UER655434:UER655440 UON655434:UON655440 UYJ655434:UYJ655440 VIF655434:VIF655440 VSB655434:VSB655440 WBX655434:WBX655440 WLT655434:WLT655440 WVP655434:WVP655440 H720970:H720976 JD720970:JD720976 SZ720970:SZ720976 ACV720970:ACV720976 AMR720970:AMR720976 AWN720970:AWN720976 BGJ720970:BGJ720976 BQF720970:BQF720976 CAB720970:CAB720976 CJX720970:CJX720976 CTT720970:CTT720976 DDP720970:DDP720976 DNL720970:DNL720976 DXH720970:DXH720976 EHD720970:EHD720976 EQZ720970:EQZ720976 FAV720970:FAV720976 FKR720970:FKR720976 FUN720970:FUN720976 GEJ720970:GEJ720976 GOF720970:GOF720976 GYB720970:GYB720976 HHX720970:HHX720976 HRT720970:HRT720976 IBP720970:IBP720976 ILL720970:ILL720976 IVH720970:IVH720976 JFD720970:JFD720976 JOZ720970:JOZ720976 JYV720970:JYV720976 KIR720970:KIR720976 KSN720970:KSN720976 LCJ720970:LCJ720976 LMF720970:LMF720976 LWB720970:LWB720976 MFX720970:MFX720976 MPT720970:MPT720976 MZP720970:MZP720976 NJL720970:NJL720976 NTH720970:NTH720976 ODD720970:ODD720976 OMZ720970:OMZ720976 OWV720970:OWV720976 PGR720970:PGR720976 PQN720970:PQN720976 QAJ720970:QAJ720976 QKF720970:QKF720976 QUB720970:QUB720976 RDX720970:RDX720976 RNT720970:RNT720976 RXP720970:RXP720976 SHL720970:SHL720976 SRH720970:SRH720976 TBD720970:TBD720976 TKZ720970:TKZ720976 TUV720970:TUV720976 UER720970:UER720976 UON720970:UON720976 UYJ720970:UYJ720976 VIF720970:VIF720976 VSB720970:VSB720976 WBX720970:WBX720976 WLT720970:WLT720976 WVP720970:WVP720976 H786506:H786512 JD786506:JD786512 SZ786506:SZ786512 ACV786506:ACV786512 AMR786506:AMR786512 AWN786506:AWN786512 BGJ786506:BGJ786512 BQF786506:BQF786512 CAB786506:CAB786512 CJX786506:CJX786512 CTT786506:CTT786512 DDP786506:DDP786512 DNL786506:DNL786512 DXH786506:DXH786512 EHD786506:EHD786512 EQZ786506:EQZ786512 FAV786506:FAV786512 FKR786506:FKR786512 FUN786506:FUN786512 GEJ786506:GEJ786512 GOF786506:GOF786512 GYB786506:GYB786512 HHX786506:HHX786512 HRT786506:HRT786512 IBP786506:IBP786512 ILL786506:ILL786512 IVH786506:IVH786512 JFD786506:JFD786512 JOZ786506:JOZ786512 JYV786506:JYV786512 KIR786506:KIR786512 KSN786506:KSN786512 LCJ786506:LCJ786512 LMF786506:LMF786512 LWB786506:LWB786512 MFX786506:MFX786512 MPT786506:MPT786512 MZP786506:MZP786512 NJL786506:NJL786512 NTH786506:NTH786512 ODD786506:ODD786512 OMZ786506:OMZ786512 OWV786506:OWV786512 PGR786506:PGR786512 PQN786506:PQN786512 QAJ786506:QAJ786512 QKF786506:QKF786512 QUB786506:QUB786512 RDX786506:RDX786512 RNT786506:RNT786512 RXP786506:RXP786512 SHL786506:SHL786512 SRH786506:SRH786512 TBD786506:TBD786512 TKZ786506:TKZ786512 TUV786506:TUV786512 UER786506:UER786512 UON786506:UON786512 UYJ786506:UYJ786512 VIF786506:VIF786512 VSB786506:VSB786512 WBX786506:WBX786512 WLT786506:WLT786512 WVP786506:WVP786512 H852042:H852048 JD852042:JD852048 SZ852042:SZ852048 ACV852042:ACV852048 AMR852042:AMR852048 AWN852042:AWN852048 BGJ852042:BGJ852048 BQF852042:BQF852048 CAB852042:CAB852048 CJX852042:CJX852048 CTT852042:CTT852048 DDP852042:DDP852048 DNL852042:DNL852048 DXH852042:DXH852048 EHD852042:EHD852048 EQZ852042:EQZ852048 FAV852042:FAV852048 FKR852042:FKR852048 FUN852042:FUN852048 GEJ852042:GEJ852048 GOF852042:GOF852048 GYB852042:GYB852048 HHX852042:HHX852048 HRT852042:HRT852048 IBP852042:IBP852048 ILL852042:ILL852048 IVH852042:IVH852048 JFD852042:JFD852048 JOZ852042:JOZ852048 JYV852042:JYV852048 KIR852042:KIR852048 KSN852042:KSN852048 LCJ852042:LCJ852048 LMF852042:LMF852048 LWB852042:LWB852048 MFX852042:MFX852048 MPT852042:MPT852048 MZP852042:MZP852048 NJL852042:NJL852048 NTH852042:NTH852048 ODD852042:ODD852048 OMZ852042:OMZ852048 OWV852042:OWV852048 PGR852042:PGR852048 PQN852042:PQN852048 QAJ852042:QAJ852048 QKF852042:QKF852048 QUB852042:QUB852048 RDX852042:RDX852048 RNT852042:RNT852048 RXP852042:RXP852048 SHL852042:SHL852048 SRH852042:SRH852048 TBD852042:TBD852048 TKZ852042:TKZ852048 TUV852042:TUV852048 UER852042:UER852048 UON852042:UON852048 UYJ852042:UYJ852048 VIF852042:VIF852048 VSB852042:VSB852048 WBX852042:WBX852048 WLT852042:WLT852048 WVP852042:WVP852048 H917578:H917584 JD917578:JD917584 SZ917578:SZ917584 ACV917578:ACV917584 AMR917578:AMR917584 AWN917578:AWN917584 BGJ917578:BGJ917584 BQF917578:BQF917584 CAB917578:CAB917584 CJX917578:CJX917584 CTT917578:CTT917584 DDP917578:DDP917584 DNL917578:DNL917584 DXH917578:DXH917584 EHD917578:EHD917584 EQZ917578:EQZ917584 FAV917578:FAV917584 FKR917578:FKR917584 FUN917578:FUN917584 GEJ917578:GEJ917584 GOF917578:GOF917584 GYB917578:GYB917584 HHX917578:HHX917584 HRT917578:HRT917584 IBP917578:IBP917584 ILL917578:ILL917584 IVH917578:IVH917584 JFD917578:JFD917584 JOZ917578:JOZ917584 JYV917578:JYV917584 KIR917578:KIR917584 KSN917578:KSN917584 LCJ917578:LCJ917584 LMF917578:LMF917584 LWB917578:LWB917584 MFX917578:MFX917584 MPT917578:MPT917584 MZP917578:MZP917584 NJL917578:NJL917584 NTH917578:NTH917584 ODD917578:ODD917584 OMZ917578:OMZ917584 OWV917578:OWV917584 PGR917578:PGR917584 PQN917578:PQN917584 QAJ917578:QAJ917584 QKF917578:QKF917584 QUB917578:QUB917584 RDX917578:RDX917584 RNT917578:RNT917584 RXP917578:RXP917584 SHL917578:SHL917584 SRH917578:SRH917584 TBD917578:TBD917584 TKZ917578:TKZ917584 TUV917578:TUV917584 UER917578:UER917584 UON917578:UON917584 UYJ917578:UYJ917584 VIF917578:VIF917584 VSB917578:VSB917584 WBX917578:WBX917584 WLT917578:WLT917584 WVP917578:WVP917584 H983114:H983120 JD983114:JD983120 SZ983114:SZ983120 ACV983114:ACV983120 AMR983114:AMR983120 AWN983114:AWN983120 BGJ983114:BGJ983120 BQF983114:BQF983120 CAB983114:CAB983120 CJX983114:CJX983120 CTT983114:CTT983120 DDP983114:DDP983120 DNL983114:DNL983120 DXH983114:DXH983120 EHD983114:EHD983120 EQZ983114:EQZ983120 FAV983114:FAV983120 FKR983114:FKR983120 FUN983114:FUN983120 GEJ983114:GEJ983120 GOF983114:GOF983120 GYB983114:GYB983120 HHX983114:HHX983120 HRT983114:HRT983120 IBP983114:IBP983120 ILL983114:ILL983120 IVH983114:IVH983120 JFD983114:JFD983120 JOZ983114:JOZ983120 JYV983114:JYV983120 KIR983114:KIR983120 KSN983114:KSN983120 LCJ983114:LCJ983120 LMF983114:LMF983120 LWB983114:LWB983120 MFX983114:MFX983120 MPT983114:MPT983120 MZP983114:MZP983120 NJL983114:NJL983120 NTH983114:NTH983120 ODD983114:ODD983120 OMZ983114:OMZ983120 OWV983114:OWV983120 PGR983114:PGR983120 PQN983114:PQN983120 QAJ983114:QAJ983120 QKF983114:QKF983120 QUB983114:QUB983120 RDX983114:RDX983120 RNT983114:RNT983120 RXP983114:RXP983120 SHL983114:SHL983120 SRH983114:SRH983120 TBD983114:TBD983120 TKZ983114:TKZ983120 TUV983114:TUV983120 UER983114:UER983120 UON983114:UON983120 UYJ983114:UYJ983120 VIF983114:VIF983120 VSB983114:VSB983120 WBX983114:WBX983120 WLT983114:WLT983120 WVP983114:WVP983120 JP104 TL104 ADH104 AND104 AWZ104 BGV104 BQR104 CAN104 CKJ104 CUF104 DEB104 DNX104 DXT104 EHP104 ERL104 FBH104 FLD104 FUZ104 GEV104 GOR104 GYN104 HIJ104 HSF104 ICB104 ILX104 IVT104 JFP104 JPL104 JZH104 KJD104 KSZ104 LCV104 LMR104 LWN104 MGJ104 MQF104 NAB104 NJX104 NTT104 ODP104 ONL104 OXH104 PHD104 PQZ104 QAV104 QKR104 QUN104 REJ104 ROF104 RYB104 SHX104 SRT104 TBP104 TLL104 TVH104 UFD104 UOZ104 UYV104 VIR104 VSN104 WCJ104 WMF104 WWB104 T65639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T131175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T196711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T262247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T327783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T393319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T458855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T524391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T589927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T655463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T720999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T786535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T852071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T917607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T983143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WVP71:WVP77 WLT71:WLT77 WBX71:WBX77 VSB71:VSB77 VIF71:VIF77 UYJ71:UYJ77 UON71:UON77 UER71:UER77 TUV71:TUV77 TKZ71:TKZ77 TBD71:TBD77 SRH71:SRH77 SHL71:SHL77 RXP71:RXP77 RNT71:RNT77 RDX71:RDX77 QUB71:QUB77 QKF71:QKF77 QAJ71:QAJ77 PQN71:PQN77 PGR71:PGR77 OWV71:OWV77 OMZ71:OMZ77 ODD71:ODD77 NTH71:NTH77 NJL71:NJL77 MZP71:MZP77 MPT71:MPT77 MFX71:MFX77 LWB71:LWB77 LMF71:LMF77 LCJ71:LCJ77 KSN71:KSN77 KIR71:KIR77 JYV71:JYV77 JOZ71:JOZ77 JFD71:JFD77 IVH71:IVH77 ILL71:ILL77 IBP71:IBP77 HRT71:HRT77 HHX71:HHX77 GYB71:GYB77 GOF71:GOF77 GEJ71:GEJ77 FUN71:FUN77 FKR71:FKR77 FAV71:FAV77 EQZ71:EQZ77 EHD71:EHD77 DXH71:DXH77 DNL71:DNL77 DDP71:DDP77 CTT71:CTT77 CJX71:CJX77 CAB71:CAB77 BQF71:BQF77 BGJ71:BGJ77 AWN71:AWN77 AMR71:AMR77 ACV71:ACV77 SZ71:SZ77 JD71:JD77 WWD71:WWD77 WMH71:WMH77 WCL71:WCL77 VSP71:VSP77 VIT71:VIT77 UYX71:UYX77 UPB71:UPB77 UFF71:UFF77 TVJ71:TVJ77 TLN71:TLN77 TBR71:TBR77 SRV71:SRV77 SHZ71:SHZ77 RYD71:RYD77 ROH71:ROH77 REL71:REL77 QUP71:QUP77 QKT71:QKT77 QAX71:QAX77 PRB71:PRB77 PHF71:PHF77 OXJ71:OXJ77 ONN71:ONN77 ODR71:ODR77 NTV71:NTV77 NJZ71:NJZ77 NAD71:NAD77 MQH71:MQH77 MGL71:MGL77 LWP71:LWP77 LMT71:LMT77 LCX71:LCX77 KTB71:KTB77 KJF71:KJF77 JZJ71:JZJ77 JPN71:JPN77 JFR71:JFR77 IVV71:IVV77 ILZ71:ILZ77 ICD71:ICD77 HSH71:HSH77 HIL71:HIL77 GYP71:GYP77 GOT71:GOT77 GEX71:GEX77 FVB71:FVB77 FLF71:FLF77 FBJ71:FBJ77 ERN71:ERN77 EHR71:EHR77 DXV71:DXV77 DNZ71:DNZ77 DED71:DED77 CUH71:CUH77 CKL71:CKL77 CAP71:CAP77 BQT71:BQT77 BGX71:BGX77 AXB71:AXB77 ANF71:ANF77 ADJ71:ADJ77 TN71:TN77 JR71:JR77 WVW71:WVW77 WMA71:WMA77 WCE71:WCE77 VSI71:VSI77 VIM71:VIM77 UYQ71:UYQ77 UOU71:UOU77 UEY71:UEY77 TVC71:TVC77 TLG71:TLG77 TBK71:TBK77 SRO71:SRO77 SHS71:SHS77 RXW71:RXW77 ROA71:ROA77 REE71:REE77 QUI71:QUI77 QKM71:QKM77 QAQ71:QAQ77 PQU71:PQU77 PGY71:PGY77 OXC71:OXC77 ONG71:ONG77 ODK71:ODK77 NTO71:NTO77 NJS71:NJS77 MZW71:MZW77 MQA71:MQA77 MGE71:MGE77 LWI71:LWI77 LMM71:LMM77 LCQ71:LCQ77 KSU71:KSU77 KIY71:KIY77 JZC71:JZC77 JPG71:JPG77 JFK71:JFK77 IVO71:IVO77 ILS71:ILS77 IBW71:IBW77 HSA71:HSA77 HIE71:HIE77 GYI71:GYI77 GOM71:GOM77 GEQ71:GEQ77 FUU71:FUU77 FKY71:FKY77 ANG105:ANG107 WVZ105:WVZ107 WMD105:WMD107 WCH105:WCH107 VSL105:VSL107 VIP105:VIP107 UYT105:UYT107 UOX105:UOX107 UFB105:UFB107 TVF105:TVF107 TLJ105:TLJ107 TBN105:TBN107 SRR105:SRR107 SHV105:SHV107 RXZ105:RXZ107 ROD105:ROD107 REH105:REH107 QUL105:QUL107 QKP105:QKP107 QAT105:QAT107 PQX105:PQX107 PHB105:PHB107 OXF105:OXF107 ONJ105:ONJ107 ODN105:ODN107 NTR105:NTR107 NJV105:NJV107 MZZ105:MZZ107 MQD105:MQD107 MGH105:MGH107 LWL105:LWL107 LMP105:LMP107 LCT105:LCT107 KSX105:KSX107 KJB105:KJB107 JZF105:JZF107 JPJ105:JPJ107 JFN105:JFN107 IVR105:IVR107 ILV105:ILV107 IBZ105:IBZ107 HSD105:HSD107 HIH105:HIH107 GYL105:GYL107 GOP105:GOP107 GET105:GET107 FUX105:FUX107 FLB105:FLB107 FBF105:FBF107 ERJ105:ERJ107 EHN105:EHN107 DXR105:DXR107 DNV105:DNV107 DDZ105:DDZ107 CUD105:CUD107 CKH105:CKH107 CAL105:CAL107 BQP105:BQP107 BGT105:BGT107 AWX105:AWX107 ANB105:ANB107 ADF105:ADF107 TJ105:TJ107 JN105:JN107 WVU104:WVU107 WLY104:WLY107 WCC104:WCC107 VSG104:VSG107 VIK104:VIK107 UYO104:UYO107 UOS104:UOS107 UEW104:UEW107 TVA104:TVA107 TLE104:TLE107 TBI104:TBI107 SRM104:SRM107 SHQ104:SHQ107 RXU104:RXU107 RNY104:RNY107 REC104:REC107 QUG104:QUG107 QKK104:QKK107 QAO104:QAO107 PQS104:PQS107 PGW104:PGW107 OXA104:OXA107 ONE104:ONE107 ODI104:ODI107 NTM104:NTM107 NJQ104:NJQ107 MZU104:MZU107 MPY104:MPY107 MGC104:MGC107 LWG104:LWG107 LMK104:LMK107 LCO104:LCO107 KSS104:KSS107 KIW104:KIW107 JZA104:JZA107 JPE104:JPE107 JFI104:JFI107 IVM104:IVM107 ILQ104:ILQ107 IBU104:IBU107 HRY104:HRY107 HIC104:HIC107 GYG104:GYG107 GOK104:GOK107 GEO104:GEO107 FUS104:FUS107 FKW104:FKW107 FBA104:FBA107 ERE104:ERE107 EHI104:EHI107 DXM104:DXM107 DNQ104:DNQ107 DDU104:DDU107 CTY104:CTY107 CKC104:CKC107 CAG104:CAG107 BQK104:BQK107 BGO104:BGO107 AWS104:AWS107 AMW104:AMW107 ADA104:ADA107 TE104:TE107 JI104:JI107 WWE105:WWE107 WMI105:WMI107 WCM105:WCM107 VSQ105:VSQ107 VIU105:VIU107 UYY105:UYY107 UPC105:UPC107 UFG105:UFG107 TVK105:TVK107 TLO105:TLO107 TBS105:TBS107 SRW105:SRW107 SIA105:SIA107 RYE105:RYE107 ROI105:ROI107 REM105:REM107 QUQ105:QUQ107 QKU105:QKU107 QAY105:QAY107 PRC105:PRC107 PHG105:PHG107 OXK105:OXK107 ONO105:ONO107 ODS105:ODS107 NTW105:NTW107 NKA105:NKA107 NAE105:NAE107 MQI105:MQI107 MGM105:MGM107 LWQ105:LWQ107 LMU105:LMU107 LCY105:LCY107 KTC105:KTC107 KJG105:KJG107 JZK105:JZK107 JPO105:JPO107 JFS105:JFS107 IVW105:IVW107 IMA105:IMA107 ICE105:ICE107 HSI105:HSI107 HIM105:HIM107 GYQ105:GYQ107 GOU105:GOU107 GEY105:GEY107 FVC105:FVC107 FLG105:FLG107 FBK105:FBK107 ERO105:ERO107 EHS105:EHS107 DXW105:DXW107 DOA105:DOA107 DEE105:DEE107 CUI105:CUI107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2022</vt:i4>
      </vt:variant>
    </vt:vector>
  </HeadingPairs>
  <TitlesOfParts>
    <vt:vector size="2024" baseType="lpstr">
      <vt:lpstr>追加説明書_中間検査</vt:lpstr>
      <vt:lpstr>追加様式</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監理者選任_大阪府下のみ!Criteria</vt:lpstr>
      <vt:lpstr>cst__output_sheetname</vt:lpstr>
      <vt:lpstr>cst__output_title</vt:lpstr>
      <vt:lpstr>cst_ISSUE_DATE_select</vt:lpstr>
      <vt:lpstr>cst_ISSUE_KOUFU_NAME_select</vt:lpstr>
      <vt:lpstr>cst_ISSUE_NO_select</vt:lpstr>
      <vt:lpstr>cst_koujikikan_month</vt:lpstr>
      <vt:lpstr>cst_koujikikan_year</vt:lpstr>
      <vt:lpstr>cst_shinsei_ACCEPT_DATE</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cst_wskakunin_dairi1_TEL_dsp</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cst_wskakunin_kanri1_TEL_dsp</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cst_wskakunin_owner1_TEL_dsp</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cst_wskakunin_sekou1_TEL_dsp</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確認取り下げ届_確認済証交付前!Print_Area</vt:lpstr>
      <vt:lpstr>監理者選任_大阪府下のみ!Print_Area</vt:lpstr>
      <vt:lpstr>軽微な変更!Print_Area</vt:lpstr>
      <vt:lpstr>建築主等変更!Print_Area</vt:lpstr>
      <vt:lpstr>誤記訂正届!Print_Area</vt:lpstr>
      <vt:lpstr>工事取りやめ届_確認済証交付後!Print_Area</vt:lpstr>
      <vt:lpstr>選定届!Print_Area</vt:lpstr>
      <vt:lpstr>別紙!Print_Area</vt:lpstr>
      <vt:lpstr>追加様式!Print_Titles</vt:lpstr>
      <vt:lpstr>shinsei_ACCEPT_DATE</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showsheetflag_リスト</vt:lpstr>
      <vt:lpstr>showsheetflag_委任状</vt:lpstr>
      <vt:lpstr>showsheetflag_確認取り下げ届_確認済証交付前</vt:lpstr>
      <vt:lpstr>showsheetflag_監理者選任_大阪府下のみ</vt:lpstr>
      <vt:lpstr>showsheetflag_軽微な変更</vt:lpstr>
      <vt:lpstr>showsheetflag_建築計画概要書_第三面</vt:lpstr>
      <vt:lpstr>showsheetflag_建築工事届</vt:lpstr>
      <vt:lpstr>showsheetflag_建築主等変更</vt:lpstr>
      <vt:lpstr>showsheetflag_誤記訂正届</vt:lpstr>
      <vt:lpstr>showsheetflag_工事取りやめ届_確認済証交付後</vt:lpstr>
      <vt:lpstr>showsheetflag_項目リスト</vt:lpstr>
      <vt:lpstr>showsheetflag_説明</vt:lpstr>
      <vt:lpstr>showsheetflag_選定届</vt:lpstr>
      <vt:lpstr>showsheetflag_追加説明書_確認申請</vt:lpstr>
      <vt:lpstr>showsheetflag_追加説明書_完了検査</vt:lpstr>
      <vt:lpstr>showsheetflag_追加説明書_中間検査</vt:lpstr>
      <vt:lpstr>showsheetflag_追加様式</vt:lpstr>
      <vt:lpstr>showsheetflag_非表示予定</vt:lpstr>
      <vt:lpstr>showsheetflag_別紙</vt:lpstr>
      <vt:lpstr>showsheetflag_用途の区分</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工事届用主要用途区分</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D17</cp:lastModifiedBy>
  <cp:lastPrinted>2024-04-03T08:01:27Z</cp:lastPrinted>
  <dcterms:created xsi:type="dcterms:W3CDTF">2016-04-05T10:41:15Z</dcterms:created>
  <dcterms:modified xsi:type="dcterms:W3CDTF">2024-05-22T07:34:42Z</dcterms:modified>
</cp:coreProperties>
</file>