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Users\D17\Desktop\"/>
    </mc:Choice>
  </mc:AlternateContent>
  <xr:revisionPtr revIDLastSave="0" documentId="13_ncr:1_{7E5E0F99-FB45-4987-86F9-5BF24AF5F000}" xr6:coauthVersionLast="47" xr6:coauthVersionMax="47" xr10:uidLastSave="{00000000-0000-0000-0000-000000000000}"/>
  <bookViews>
    <workbookView xWindow="-120" yWindow="-120" windowWidth="29040" windowHeight="15720" tabRatio="895" firstSheet="13" activeTab="13" xr2:uid="{00000000-000D-0000-FFFF-FFFF00000000}"/>
  </bookViews>
  <sheets>
    <sheet name="dSHEET" sheetId="1" state="veryHidden" r:id="rId1"/>
    <sheet name="dSTART" sheetId="2" state="veryHidden" r:id="rId2"/>
    <sheet name="DATA" sheetId="3" state="veryHidden" r:id="rId3"/>
    <sheet name="cst_DATA" sheetId="4" state="veryHidden" r:id="rId4"/>
    <sheet name="項目リスト" sheetId="5" state="veryHidden" r:id="rId5"/>
    <sheet name="用途の区分" sheetId="6" state="veryHidden" r:id="rId6"/>
    <sheet name="リスト" sheetId="7" state="veryHidden" r:id="rId7"/>
    <sheet name="説明" sheetId="134" state="veryHidden" r:id="rId8"/>
    <sheet name="建築工事届" sheetId="140" state="veryHidden" r:id="rId9"/>
    <sheet name="建築計画概要書_第三面" sheetId="137" state="veryHidden" r:id="rId10"/>
    <sheet name="委任状" sheetId="132" state="veryHidden" r:id="rId11"/>
    <sheet name="追加説明書_確認申請" sheetId="141" state="veryHidden" r:id="rId12"/>
    <sheet name="追加説明書_中間検査" sheetId="143" state="veryHidden" r:id="rId13"/>
    <sheet name="追加説明書_完了検査" sheetId="144" r:id="rId14"/>
    <sheet name="追加様式" sheetId="142" r:id="rId15"/>
    <sheet name="監理者選任_大阪府下のみ" sheetId="145" state="veryHidden" r:id="rId16"/>
    <sheet name="軽微な変更" sheetId="147" state="veryHidden" r:id="rId17"/>
    <sheet name="誤記訂正届" sheetId="148" state="veryHidden" r:id="rId18"/>
    <sheet name="建築主等変更" sheetId="153" state="veryHidden" r:id="rId19"/>
    <sheet name="別紙" sheetId="150" state="veryHidden" r:id="rId20"/>
    <sheet name="選定届" sheetId="152" state="veryHidden" r:id="rId21"/>
    <sheet name="確認取り下げ届_確認済証交付前" sheetId="151" state="veryHidden" r:id="rId22"/>
    <sheet name="工事取りやめ届_確認済証交付後" sheetId="146" state="veryHidden" r:id="rId23"/>
  </sheets>
  <definedNames>
    <definedName name="__IntlFixup" hidden="1">TRUE</definedName>
    <definedName name="__IntlFixupTable" localSheetId="8" hidden="1">#REF!</definedName>
    <definedName name="__IntlFixupTable" localSheetId="18" hidden="1">#REF!</definedName>
    <definedName name="__IntlFixupTable" hidden="1">#REF!</definedName>
    <definedName name="_１級">リスト!$A$3</definedName>
    <definedName name="_xlnm._FilterDatabase" localSheetId="15" hidden="1">監理者選任_大阪府下のみ!#REF!</definedName>
    <definedName name="_output_sheetname">DATA!$D$9</definedName>
    <definedName name="_output_title">DATA!$D$7</definedName>
    <definedName name="AAA_01" localSheetId="8" hidden="1">#REF!</definedName>
    <definedName name="AAA_01" hidden="1">#REF!</definedName>
    <definedName name="chk_INTER_state_in_final">DATA!$F$30</definedName>
    <definedName name="chk_INTER1_state_in_conf">DATA!$F$27</definedName>
    <definedName name="chk_INTER2_state_in_conf">DATA!$F$28</definedName>
    <definedName name="chk_INTER3_state_in_conf">DATA!$F$29</definedName>
    <definedName name="chk_JOB_KIND_kakunin">DATA!$F$26</definedName>
    <definedName name="cls_JOB_KIND_base_point">cst_DATA!$I$23</definedName>
    <definedName name="cls_JOB_KIND_erea">cst_DATA!$H$24:$H$29</definedName>
    <definedName name="cls_JOB_SET_KIND_base_point">cst_DATA!$I$4</definedName>
    <definedName name="cls_JOB_SET_KIND_erea">cst_DATA!$H$5:$H$9</definedName>
    <definedName name="cls_TARGET_KIND_base_point">cst_DATA!$I$13</definedName>
    <definedName name="cls_TARGET_KIND_erea">cst_DATA!$H$14:$H$19</definedName>
    <definedName name="_xlnm.Criteria" localSheetId="15">監理者選任_大阪府下のみ!$AM$5:$AM$18</definedName>
    <definedName name="cst__output_sheetname">DATA!$F$9</definedName>
    <definedName name="cst__output_title">DATA!$F$7</definedName>
    <definedName name="cst_ISSUE_DATE_select">DATA!$F$32</definedName>
    <definedName name="cst_ISSUE_KOUFU_NAME_select">DATA!$F$67</definedName>
    <definedName name="cst_ISSUE_NO_select">DATA!$F$31</definedName>
    <definedName name="cst_koujikikan_month">DATA!$F$1151</definedName>
    <definedName name="cst_koujikikan_year">DATA!$F$1150</definedName>
    <definedName name="cst_shinsei_ACCEPT_DATE">DATA!$F$38</definedName>
    <definedName name="cst_shinsei_build_p6_01_PAGE6_KOUZOU_KEISAN_KIND__002">DATA!$F$55</definedName>
    <definedName name="cst_shinsei_build_p6_01_PAGE6_KOUZOU_KEISAN_KIND__004">DATA!$F$54</definedName>
    <definedName name="cst_shinsei_build_p6_01_PAGE6_KOUZOU_KEISAN_KIND__005">DATA!$F$53</definedName>
    <definedName name="cst_shinsei_build_YOUTO">DATA!$F$1333</definedName>
    <definedName name="cst_shinsei_HIKIUKE_DATE">DATA!$F$42</definedName>
    <definedName name="cst_shinsei_ISSUE_DATE">DATA!$F$48</definedName>
    <definedName name="cst_shinsei_ISSUE_KOUFU_NAME">DATA!$F$50</definedName>
    <definedName name="cst_shinsei_ISSUE_NO">DATA!$F$44</definedName>
    <definedName name="cst_shinsei_ISSUE_NO_disp">DATA!$F$45</definedName>
    <definedName name="cst_shinsei_KAKU_SUMI_NO">DATA!$F$46</definedName>
    <definedName name="cst_shinsei_KAKUNIN_ISSUE_NO">DATA!$F$65</definedName>
    <definedName name="cst_shinsei_KAKUNIN_KOUFU_DATE">DATA!$F$68</definedName>
    <definedName name="cst_shinsei_PROVO_DATE">DATA!$F$34</definedName>
    <definedName name="cst_shinsei_PROVO_NO">DATA!$F$35</definedName>
    <definedName name="cst_shinsei_UKETUKE_NO">DATA!$F$40</definedName>
    <definedName name="cst_shinsei_UNIT_COUNT">DATA!$F$972</definedName>
    <definedName name="cst_wsflat35_dairi1_POST">DATA!$F$197</definedName>
    <definedName name="cst_wsjob_JOB_KIND">DATA!$F$19</definedName>
    <definedName name="cst_wsjob_JOB_KIND_final_box">DATA!$F$22</definedName>
    <definedName name="cst_wsjob_JOB_KIND_inter_box">DATA!$F$21</definedName>
    <definedName name="cst_wsjob_JOB_KIND_kakunin_box">DATA!$F$20</definedName>
    <definedName name="cst_wsjob_JOB_SET_KIND">DATA!$F$12</definedName>
    <definedName name="cst_wsjob_KENTIKUBUTU_box">DATA!$F$14</definedName>
    <definedName name="cst_wsjob_KENTIKUSETUBI_box">DATA!$F$16</definedName>
    <definedName name="cst_wsjob_KOUSAKUBUTU_1_box">DATA!$F$17</definedName>
    <definedName name="cst_wsjob_KOUSAKUBUTU_2_box">DATA!$F$18</definedName>
    <definedName name="cst_wsjob_SYOUKOUKI_box">DATA!$F$15</definedName>
    <definedName name="cst_wsjob_TARGET_KIND">DATA!$F$13</definedName>
    <definedName name="cst_wsjob_TARGET_KIND__label">DATA!$F$11</definedName>
    <definedName name="cst_wskakunin__bouka">DATA!$F$926</definedName>
    <definedName name="cst_wskakunin__kouji">DATA!$F$976</definedName>
    <definedName name="cst_wskakunin__kuiki">DATA!$F$917</definedName>
    <definedName name="cst_wskakunin__kuiki_box">DATA!$F$918</definedName>
    <definedName name="cst_wskakunin__tosi_kuiki">DATA!$F$920</definedName>
    <definedName name="cst_wskakunin_20kouzou101_KOUZOUSEKKEI_KOUFU_NO">DATA!$F$492</definedName>
    <definedName name="cst_wskakunin_20kouzou101_NAME">DATA!$F$491</definedName>
    <definedName name="cst_wskakunin_20kouzou102_KOUZOUSEKKEI_KOUFU_NO">DATA!$F$494</definedName>
    <definedName name="cst_wskakunin_20kouzou102_NAME">DATA!$F$493</definedName>
    <definedName name="cst_wskakunin_20kouzou103_KOUZOUSEKKEI_KOUFU_NO">DATA!$F$496</definedName>
    <definedName name="cst_wskakunin_20kouzou103_NAME">DATA!$F$495</definedName>
    <definedName name="cst_wskakunin_20kouzou104_KOUZOUSEKKEI_KOUFU_NO">DATA!$F$498</definedName>
    <definedName name="cst_wskakunin_20kouzou104_NAME">DATA!$F$497</definedName>
    <definedName name="cst_wskakunin_20kouzou105_KOUZOUSEKKEI_KOUFU_NO">DATA!$F$500</definedName>
    <definedName name="cst_wskakunin_20kouzou105_NAME">DATA!$F$499</definedName>
    <definedName name="cst_wskakunin_20kouzou301_KOUZOUSEKKEI_KOUFU_NO">DATA!$F$504</definedName>
    <definedName name="cst_wskakunin_20kouzou301_NAME">DATA!$F$503</definedName>
    <definedName name="cst_wskakunin_20kouzou302_KOUZOUSEKKEI_KOUFU_NO">DATA!$F$506</definedName>
    <definedName name="cst_wskakunin_20kouzou302_NAME">DATA!$F$505</definedName>
    <definedName name="cst_wskakunin_20kouzou303_KOUZOUSEKKEI_KOUFU_NO">DATA!$F$508</definedName>
    <definedName name="cst_wskakunin_20kouzou303_NAME">DATA!$F$507</definedName>
    <definedName name="cst_wskakunin_20kouzou304_KOUZOUSEKKEI_KOUFU_NO">DATA!$F$510</definedName>
    <definedName name="cst_wskakunin_20kouzou304_NAME">DATA!$F$509</definedName>
    <definedName name="cst_wskakunin_20kouzou305_KOUZOUSEKKEI_KOUFU_NO">DATA!$F$512</definedName>
    <definedName name="cst_wskakunin_20kouzou305_NAME">DATA!$F$511</definedName>
    <definedName name="cst_wskakunin_20setubi101_NAME">DATA!$F$515</definedName>
    <definedName name="cst_wskakunin_20setubi101_SETUBISEKKEI_KOUFU_NO">DATA!$F$516</definedName>
    <definedName name="cst_wskakunin_20setubi102_NAME">DATA!$F$517</definedName>
    <definedName name="cst_wskakunin_20setubi102_SETUBISEKKEI_KOUFU_NO">DATA!$F$518</definedName>
    <definedName name="cst_wskakunin_20setubi103_NAME">DATA!$F$519</definedName>
    <definedName name="cst_wskakunin_20setubi103_SETUBISEKKEI_KOUFU_NO">DATA!$F$520</definedName>
    <definedName name="cst_wskakunin_20setubi104_NAME">DATA!$F$521</definedName>
    <definedName name="cst_wskakunin_20setubi104_SETUBISEKKEI_KOUFU_NO">DATA!$F$522</definedName>
    <definedName name="cst_wskakunin_20setubi105_NAME">DATA!$F$523</definedName>
    <definedName name="cst_wskakunin_20setubi105_SETUBISEKKEI_KOUFU_NO">DATA!$F$524</definedName>
    <definedName name="cst_wskakunin_20setubi301_NAME">DATA!$F$527</definedName>
    <definedName name="cst_wskakunin_20setubi301_SETUBISEKKEI_KOUFU_NO">DATA!$F$528</definedName>
    <definedName name="cst_wskakunin_20setubi302_NAME">DATA!$F$529</definedName>
    <definedName name="cst_wskakunin_20setubi302_SETUBISEKKEI_KOUFU_NO">DATA!$F$530</definedName>
    <definedName name="cst_wskakunin_20setubi303_NAME">DATA!$F$531</definedName>
    <definedName name="cst_wskakunin_20setubi303_SETUBISEKKEI_KOUFU_NO">DATA!$F$532</definedName>
    <definedName name="cst_wskakunin_20setubi304_NAME">DATA!$F$533</definedName>
    <definedName name="cst_wskakunin_20setubi304_SETUBISEKKEI_KOUFU_NO">DATA!$F$534</definedName>
    <definedName name="cst_wskakunin_20setubi305_NAME">DATA!$F$535</definedName>
    <definedName name="cst_wskakunin_20setubi305_SETUBISEKKEI_KOUFU_NO">DATA!$F$536</definedName>
    <definedName name="cst_wskakunin_APPLICANT_NAME">DATA!$F$73</definedName>
    <definedName name="cst_wskakunin_BOUKA_22JYO">DATA!$F$930</definedName>
    <definedName name="cst_wskakunin_BOUKA_BOUKA">DATA!$F$927</definedName>
    <definedName name="cst_wskakunin_BOUKA_JYUN_BOUKA">DATA!$F$928</definedName>
    <definedName name="cst_wskakunin_BOUKA_NASI">DATA!$F$929</definedName>
    <definedName name="cst_wskakunin_BOUKA_SETUBI_FLAG">DATA!$F$1175</definedName>
    <definedName name="cst_wskakunin_BOUKA_SETUBI_FLAG_box_off">DATA!$F$1177</definedName>
    <definedName name="cst_wskakunin_BOUKA_SETUBI_FLAG_box_on">DATA!$F$1176</definedName>
    <definedName name="cst_wskakunin_BUILD__address">DATA!$F$906</definedName>
    <definedName name="cst_wskakunin_BUILD_ADDRESS">DATA!$F$908</definedName>
    <definedName name="cst_wskakunin_BUILD_JYUKYO__address">DATA!$F$911</definedName>
    <definedName name="cst_wskakunin_BUILD_JYUKYO_ADDRESS">DATA!$F$913</definedName>
    <definedName name="cst_wskakunin_BUILD_JYUKYO_KEN__ken">DATA!$F$912</definedName>
    <definedName name="cst_wskakunin_BUILD_KEN__ken">DATA!$F$907</definedName>
    <definedName name="cst_wskakunin_BUILD_NAME">DATA!$F$842</definedName>
    <definedName name="cst_wskakunin_BUILD_NAME_KANA">DATA!$F$843</definedName>
    <definedName name="cst_wskakunin_BUILD_SHINSEI_COUNT">DATA!$F$1090</definedName>
    <definedName name="cst_wskakunin_BUILD_SONOTA_COUNT">DATA!$F$1091</definedName>
    <definedName name="cst_wskakunin_dairi1__address">DATA!$F$206</definedName>
    <definedName name="cst_wskakunin_dairi1__sikaku">DATA!$F$193</definedName>
    <definedName name="cst_wskakunin_dairi1__space">DATA!$F$210</definedName>
    <definedName name="cst_wskakunin_dairi1__space2">DATA!$F$211</definedName>
    <definedName name="cst_wskakunin_dairi1_FAX">DATA!$F$209</definedName>
    <definedName name="cst_wskakunin_dairi1_JIMU__sikaku">DATA!$F$200</definedName>
    <definedName name="cst_wskakunin_dairi1_JIMU_NAME">DATA!$F$204</definedName>
    <definedName name="cst_wskakunin_dairi1_JIMU_NO">DATA!$F$203</definedName>
    <definedName name="cst_wskakunin_dairi1_JIMU_SIKAKU">DATA!$F$201</definedName>
    <definedName name="cst_wskakunin_dairi1_JIMU_TOUROKU_KIKAN">DATA!$F$202</definedName>
    <definedName name="cst_wskakunin_dairi1_KENTIKUSI_NO">DATA!$F$196</definedName>
    <definedName name="cst_wskakunin_dairi1_NAME">DATA!$F$198</definedName>
    <definedName name="cst_wskakunin_dairi1_NAME_KANA">DATA!$F$199</definedName>
    <definedName name="cst_wskakunin_dairi1_SIKAKU">DATA!$F$194</definedName>
    <definedName name="cst_wskakunin_dairi1_TEL">DATA!$F$207</definedName>
    <definedName name="cst_wskakunin_dairi1_TEL_dsp">DATA!$F$208</definedName>
    <definedName name="cst_wskakunin_dairi1_TOUROKU_KIKAN">DATA!$F$195</definedName>
    <definedName name="cst_wskakunin_dairi1_ZIP">DATA!$F$205</definedName>
    <definedName name="cst_wskakunin_dairi2__address">DATA!$F$226</definedName>
    <definedName name="cst_wskakunin_dairi2__sikaku">DATA!$F$214</definedName>
    <definedName name="cst_wskakunin_dairi2__space">DATA!$F$229</definedName>
    <definedName name="cst_wskakunin_dairi2_FAX">DATA!$F$228</definedName>
    <definedName name="cst_wskakunin_dairi2_JIMU__sikaku">DATA!$F$220</definedName>
    <definedName name="cst_wskakunin_dairi2_JIMU_NAME">DATA!$F$224</definedName>
    <definedName name="cst_wskakunin_dairi2_JIMU_NO">DATA!$F$223</definedName>
    <definedName name="cst_wskakunin_dairi2_JIMU_SIKAKU">DATA!$F$221</definedName>
    <definedName name="cst_wskakunin_dairi2_JIMU_TOUROKU_KIKAN">DATA!$F$222</definedName>
    <definedName name="cst_wskakunin_dairi2_KENTIKUSI_NO">DATA!$F$217</definedName>
    <definedName name="cst_wskakunin_dairi2_NAME">DATA!$F$218</definedName>
    <definedName name="cst_wskakunin_dairi2_NAME_KANA">DATA!$F$219</definedName>
    <definedName name="cst_wskakunin_dairi2_SIKAKU">DATA!$F$215</definedName>
    <definedName name="cst_wskakunin_dairi2_TEL">DATA!$F$227</definedName>
    <definedName name="cst_wskakunin_dairi2_TOUROKU_KIKAN">DATA!$F$216</definedName>
    <definedName name="cst_wskakunin_dairi2_ZIP">DATA!$F$225</definedName>
    <definedName name="cst_wskakunin_dairi3__address">DATA!$F$244</definedName>
    <definedName name="cst_wskakunin_dairi3__sikaku">DATA!$F$232</definedName>
    <definedName name="cst_wskakunin_dairi3__space">DATA!$F$247</definedName>
    <definedName name="cst_wskakunin_dairi3_FAX">DATA!$F$246</definedName>
    <definedName name="cst_wskakunin_dairi3_JIMU__sikaku">DATA!$F$238</definedName>
    <definedName name="cst_wskakunin_dairi3_JIMU_NAME">DATA!$F$242</definedName>
    <definedName name="cst_wskakunin_dairi3_JIMU_NO">DATA!$F$241</definedName>
    <definedName name="cst_wskakunin_dairi3_JIMU_SIKAKU">DATA!$F$239</definedName>
    <definedName name="cst_wskakunin_dairi3_JIMU_TOUROKU_KIKAN">DATA!$F$240</definedName>
    <definedName name="cst_wskakunin_dairi3_KENTIKUSI_NO">DATA!$F$235</definedName>
    <definedName name="cst_wskakunin_dairi3_NAME">DATA!$F$236</definedName>
    <definedName name="cst_wskakunin_dairi3_NAME_KANA">DATA!$F$237</definedName>
    <definedName name="cst_wskakunin_dairi3_SIKAKU">DATA!$F$233</definedName>
    <definedName name="cst_wskakunin_dairi3_TEL">DATA!$F$245</definedName>
    <definedName name="cst_wskakunin_dairi3_TOUROKU_KIKAN">DATA!$F$234</definedName>
    <definedName name="cst_wskakunin_dairi3_ZIP">DATA!$F$243</definedName>
    <definedName name="cst_wskakunin_dairi4__address">DATA!$F$262</definedName>
    <definedName name="cst_wskakunin_dairi4__sikaku">DATA!$F$250</definedName>
    <definedName name="cst_wskakunin_dairi4__space">DATA!$F$265</definedName>
    <definedName name="cst_wskakunin_dairi4_FAX">DATA!$F$264</definedName>
    <definedName name="cst_wskakunin_dairi4_JIMU__sikaku">DATA!$F$256</definedName>
    <definedName name="cst_wskakunin_dairi4_JIMU_NAME">DATA!$F$260</definedName>
    <definedName name="cst_wskakunin_dairi4_JIMU_NO">DATA!$F$259</definedName>
    <definedName name="cst_wskakunin_dairi4_JIMU_SIKAKU">DATA!$F$257</definedName>
    <definedName name="cst_wskakunin_dairi4_JIMU_TOUROKU_KIKAN">DATA!$F$258</definedName>
    <definedName name="cst_wskakunin_dairi4_KENTIKUSI_NO">DATA!$F$253</definedName>
    <definedName name="cst_wskakunin_dairi4_NAME">DATA!$F$254</definedName>
    <definedName name="cst_wskakunin_dairi4_NAME_KANA">DATA!$F$255</definedName>
    <definedName name="cst_wskakunin_dairi4_SIKAKU">DATA!$F$251</definedName>
    <definedName name="cst_wskakunin_dairi4_TEL">DATA!$F$263</definedName>
    <definedName name="cst_wskakunin_dairi4_TOUROKU_KIKAN">DATA!$F$252</definedName>
    <definedName name="cst_wskakunin_dairi4_ZIP">DATA!$F$261</definedName>
    <definedName name="cst_wskakunin_dairi5__address">DATA!$F$280</definedName>
    <definedName name="cst_wskakunin_dairi5__sikaku">DATA!$F$268</definedName>
    <definedName name="cst_wskakunin_dairi5__space">DATA!$F$283</definedName>
    <definedName name="cst_wskakunin_dairi5_FAX">DATA!$F$282</definedName>
    <definedName name="cst_wskakunin_dairi5_JIMU__sikaku">DATA!$F$274</definedName>
    <definedName name="cst_wskakunin_dairi5_JIMU_NAME">DATA!$F$278</definedName>
    <definedName name="cst_wskakunin_dairi5_JIMU_NO">DATA!$F$277</definedName>
    <definedName name="cst_wskakunin_dairi5_JIMU_SIKAKU">DATA!$F$275</definedName>
    <definedName name="cst_wskakunin_dairi5_JIMU_TOUROKU_KIKAN">DATA!$F$276</definedName>
    <definedName name="cst_wskakunin_dairi5_KENTIKUSI_NO">DATA!$F$271</definedName>
    <definedName name="cst_wskakunin_dairi5_NAME">DATA!$F$272</definedName>
    <definedName name="cst_wskakunin_dairi5_NAME_KANA">DATA!$F$273</definedName>
    <definedName name="cst_wskakunin_dairi5_SIKAKU">DATA!$F$269</definedName>
    <definedName name="cst_wskakunin_dairi5_TEL">DATA!$F$281</definedName>
    <definedName name="cst_wskakunin_dairi5_TOUROKU_KIKAN">DATA!$F$270</definedName>
    <definedName name="cst_wskakunin_dairi5_ZIP">DATA!$F$279</definedName>
    <definedName name="cst_wskakunin_DOURO_FUKUIN">DATA!$F$935</definedName>
    <definedName name="cst_wskakunin_DOURO_NAGASA">DATA!$F$936</definedName>
    <definedName name="cst_wskakunin_ecotekihan01_FUYOU_CAUSE">DATA!$F$872</definedName>
    <definedName name="cst_wskakunin_ecotekihan01_miteisyutu_kikan_info">DATA!$F$871</definedName>
    <definedName name="cst_wskakunin_ecotekihan01_teisyutu_kikan_info">DATA!$F$870</definedName>
    <definedName name="cst_wskakunin_ecotekihan01_TEKIHAN_KIKAN_ADDRESS">DATA!$F$868</definedName>
    <definedName name="cst_wskakunin_ecotekihan01_TEKIHAN_KIKAN_KEN__ken">DATA!$F$867</definedName>
    <definedName name="cst_wskakunin_ecotekihan01_TEKIHAN_KIKAN_NAME">DATA!$F$866</definedName>
    <definedName name="cst_wskakunin_ecotekihan01_TEKIHAN_STATE_miteisyutu">DATA!$F$864</definedName>
    <definedName name="cst_wskakunin_ecotekihan01_TEKIHAN_STATE_teisyutu">DATA!$F$863</definedName>
    <definedName name="cst_wskakunin_ecotekihan01_TEKIHAN_STATE_teisyutufuyou">DATA!$F$865</definedName>
    <definedName name="cst_wskakunin_gaiyou1_EV_KIND">DATA!$F$1007</definedName>
    <definedName name="cst_wskakunin_gaiyou1_KOUJI_KAITIKU">DATA!$F$994</definedName>
    <definedName name="cst_wskakunin_gaiyou1_KOUJI_SINTIKU">DATA!$F$992</definedName>
    <definedName name="cst_wskakunin_gaiyou1_KOUJI_SONOTA">DATA!$F$995</definedName>
    <definedName name="cst_wskakunin_gaiyou1_KOUJI_SONOTA_TEXT">DATA!$F$996</definedName>
    <definedName name="cst_wskakunin_gaiyou1_KOUJI_ZOUTIKU">DATA!$F$993</definedName>
    <definedName name="cst_wskakunin_gaiyou1_KOUZOU">DATA!$F$991</definedName>
    <definedName name="cst_wskakunin_gaiyou1_NINSYOU_NO">DATA!$F$1013</definedName>
    <definedName name="cst_wskakunin_gaiyou1_NO">DATA!$F$1006</definedName>
    <definedName name="cst_wskakunin_gaiyou1_SEKISAI">DATA!$F$1009</definedName>
    <definedName name="cst_wskakunin_gaiyou1_SONOTA">DATA!$F$1012</definedName>
    <definedName name="cst_wskakunin_gaiyou1_SONOTA_and_NINSYOU_NO">DATA!$F$1014</definedName>
    <definedName name="cst_wskakunin_gaiyou1_SPEED">DATA!$F$1011</definedName>
    <definedName name="cst_wskakunin_gaiyou1_TAKASA">DATA!$F$990</definedName>
    <definedName name="cst_wskakunin_gaiyou1_TEIIN">DATA!$F$1010</definedName>
    <definedName name="cst_wskakunin_gaiyou1_TIKUZOU_MENSEKI_IGAI">DATA!$F$999</definedName>
    <definedName name="cst_wskakunin_gaiyou1_TIKUZOU_MENSEKI_SHINSEI">DATA!$F$998</definedName>
    <definedName name="cst_wskakunin_gaiyou1_TIKUZOU_MENSEKI_TOTAL">DATA!$F$1000</definedName>
    <definedName name="cst_wskakunin_gaiyou1_WORK_COUNT_IGAI">DATA!$F$1002</definedName>
    <definedName name="cst_wskakunin_gaiyou1_WORK_COUNT_SHINSEI">DATA!$F$1001</definedName>
    <definedName name="cst_wskakunin_gaiyou1_WORK_COUNT_TOTAL">DATA!$F$1003</definedName>
    <definedName name="cst_wskakunin_gaiyou1_WORK_SYURUI">DATA!$F$989</definedName>
    <definedName name="cst_wskakunin_gaiyou1_WORK_SYURUI_CODE">DATA!$F$988</definedName>
    <definedName name="cst_wskakunin_gaiyou1_YOUTO">DATA!$F$1008</definedName>
    <definedName name="cst_wskakunin_iken1__address">DATA!$F$543</definedName>
    <definedName name="cst_wskakunin_iken1_DOC">DATA!$F$546</definedName>
    <definedName name="cst_wskakunin_iken1_IKEN_NO">DATA!$F$545</definedName>
    <definedName name="cst_wskakunin_iken1_JIMU_NAME">DATA!$F$541</definedName>
    <definedName name="cst_wskakunin_iken1_NAME">DATA!$F$540</definedName>
    <definedName name="cst_wskakunin_iken1_TEL">DATA!$F$544</definedName>
    <definedName name="cst_wskakunin_iken1_ZIP">DATA!$F$542</definedName>
    <definedName name="cst_wskakunin_iken2__address">DATA!$F$552</definedName>
    <definedName name="cst_wskakunin_iken2_DOC">DATA!$F$555</definedName>
    <definedName name="cst_wskakunin_iken2_IKEN_NO">DATA!$F$554</definedName>
    <definedName name="cst_wskakunin_iken2_JIMU_NAME">DATA!$F$550</definedName>
    <definedName name="cst_wskakunin_iken2_NAME">DATA!$F$549</definedName>
    <definedName name="cst_wskakunin_iken2_TEL">DATA!$F$553</definedName>
    <definedName name="cst_wskakunin_iken2_ZIP">DATA!$F$551</definedName>
    <definedName name="cst_wskakunin_iken3__address">DATA!$F$561</definedName>
    <definedName name="cst_wskakunin_iken3_DOC">DATA!$F$564</definedName>
    <definedName name="cst_wskakunin_iken3_IKEN_NO">DATA!$F$563</definedName>
    <definedName name="cst_wskakunin_iken3_JIMU_NAME">DATA!$F$559</definedName>
    <definedName name="cst_wskakunin_iken3_NAME">DATA!$F$558</definedName>
    <definedName name="cst_wskakunin_iken3_TEL">DATA!$F$562</definedName>
    <definedName name="cst_wskakunin_iken3_ZIP">DATA!$F$560</definedName>
    <definedName name="cst_wskakunin_iken4__address">DATA!$F$570</definedName>
    <definedName name="cst_wskakunin_iken4_DOC">DATA!$F$573</definedName>
    <definedName name="cst_wskakunin_iken4_IKEN_NO">DATA!$F$572</definedName>
    <definedName name="cst_wskakunin_iken4_JIMU_NAME">DATA!$F$568</definedName>
    <definedName name="cst_wskakunin_iken4_NAME">DATA!$F$567</definedName>
    <definedName name="cst_wskakunin_iken4_TEL">DATA!$F$571</definedName>
    <definedName name="cst_wskakunin_iken4_ZIP">DATA!$F$569</definedName>
    <definedName name="cst_wskakunin_iken5__address">DATA!$F$578</definedName>
    <definedName name="cst_wskakunin_iken5_DOC">DATA!$F$581</definedName>
    <definedName name="cst_wskakunin_iken5_IKEN_NO">DATA!$F$580</definedName>
    <definedName name="cst_wskakunin_iken5_JIMU_NAME">DATA!$F$576</definedName>
    <definedName name="cst_wskakunin_iken5_NAME">DATA!$F$575</definedName>
    <definedName name="cst_wskakunin_iken5_TEL">DATA!$F$579</definedName>
    <definedName name="cst_wskakunin_iken5_ZIP">DATA!$F$577</definedName>
    <definedName name="cst_wskakunin_KAISU_TIJYOU_SHINSEI">DATA!$F$1098</definedName>
    <definedName name="cst_wskakunin_KAISU_TIJYOU_SONOTA">DATA!$F$1099</definedName>
    <definedName name="cst_wskakunin_KAISU_TIKA_SHINSEI__zero">DATA!$F$1101</definedName>
    <definedName name="cst_wskakunin_KAISU_TIKA_SONOTA">DATA!$F$1102</definedName>
    <definedName name="cst_wskakunin_kanri1__address">DATA!$F$596</definedName>
    <definedName name="cst_wskakunin_kanri1__sikaku">DATA!$F$584</definedName>
    <definedName name="cst_wskakunin_kanri1_DOC">DATA!$F$599</definedName>
    <definedName name="cst_wskakunin_kanri1_JIMU">DATA!$F$589</definedName>
    <definedName name="cst_wskakunin_kanri1_JIMU_NAME">DATA!$F$593</definedName>
    <definedName name="cst_wskakunin_kanri1_JIMU_NO">DATA!$F$592</definedName>
    <definedName name="cst_wskakunin_kanri1_JIMU_SIKAKU">DATA!$F$590</definedName>
    <definedName name="cst_wskakunin_kanri1_JIMU_TOUROKU_KIKAN">DATA!$F$591</definedName>
    <definedName name="cst_wskakunin_kanri1_KENTIKUSI_NO">DATA!$F$587</definedName>
    <definedName name="cst_wskakunin_kanri1_NAME">DATA!$F$588</definedName>
    <definedName name="cst_wskakunin_kanri1_SIKAKU">DATA!$F$585</definedName>
    <definedName name="cst_wskakunin_kanri1_TEL">DATA!$F$597</definedName>
    <definedName name="cst_wskakunin_kanri1_TEL_dsp">DATA!$F$598</definedName>
    <definedName name="cst_wskakunin_kanri1_TOUROKU_KIKAN">DATA!$F$586</definedName>
    <definedName name="cst_wskakunin_kanri1_ZIP">DATA!$F$594</definedName>
    <definedName name="cst_wskakunin_kanri1_ZIP2">DATA!$F$595</definedName>
    <definedName name="cst_wskakunin_kanri10__address">DATA!$F$741</definedName>
    <definedName name="cst_wskakunin_kanri10__sikaku">DATA!$F$730</definedName>
    <definedName name="cst_wskakunin_kanri10_DOC">DATA!$F$743</definedName>
    <definedName name="cst_wskakunin_kanri10_JIMU__sikaku">DATA!$F$735</definedName>
    <definedName name="cst_wskakunin_kanri10_JIMU_NAME">DATA!$F$739</definedName>
    <definedName name="cst_wskakunin_kanri10_JIMU_NO">DATA!$F$738</definedName>
    <definedName name="cst_wskakunin_kanri10_JIMU_SIKAKU">DATA!$F$736</definedName>
    <definedName name="cst_wskakunin_kanri10_JIMU_TOUROKU_KIKAN">DATA!$F$737</definedName>
    <definedName name="cst_wskakunin_kanri10_KENTIKUSI_NO">DATA!$F$733</definedName>
    <definedName name="cst_wskakunin_kanri10_NAME">DATA!$F$734</definedName>
    <definedName name="cst_wskakunin_kanri10_SIKAKU">DATA!$F$731</definedName>
    <definedName name="cst_wskakunin_kanri10_TEL">DATA!$F$742</definedName>
    <definedName name="cst_wskakunin_kanri10_TOUROKU_KIKAN">DATA!$F$732</definedName>
    <definedName name="cst_wskakunin_kanri10_ZIP">DATA!$F$740</definedName>
    <definedName name="cst_wskakunin_kanri11__address">DATA!$F$757</definedName>
    <definedName name="cst_wskakunin_kanri11__sikaku">DATA!$F$746</definedName>
    <definedName name="cst_wskakunin_kanri11_DOC">DATA!$F$759</definedName>
    <definedName name="cst_wskakunin_kanri11_JIMU__sikaku">DATA!$F$751</definedName>
    <definedName name="cst_wskakunin_kanri11_JIMU_NAME">DATA!$F$755</definedName>
    <definedName name="cst_wskakunin_kanri11_JIMU_NO">DATA!$F$754</definedName>
    <definedName name="cst_wskakunin_kanri11_JIMU_SIKAKU">DATA!$F$752</definedName>
    <definedName name="cst_wskakunin_kanri11_JIMU_TOUROKU_KIKAN">DATA!$F$753</definedName>
    <definedName name="cst_wskakunin_kanri11_KENTIKUSI_NO">DATA!$F$749</definedName>
    <definedName name="cst_wskakunin_kanri11_NAME">DATA!$F$750</definedName>
    <definedName name="cst_wskakunin_kanri11_SIKAKU">DATA!$F$747</definedName>
    <definedName name="cst_wskakunin_kanri11_TEL">DATA!$F$758</definedName>
    <definedName name="cst_wskakunin_kanri11_TOUROKU_KIKAN">DATA!$F$748</definedName>
    <definedName name="cst_wskakunin_kanri11_ZIP">DATA!$F$756</definedName>
    <definedName name="cst_wskakunin_kanri12__address">DATA!$F$773</definedName>
    <definedName name="cst_wskakunin_kanri12__sikaku">DATA!$F$762</definedName>
    <definedName name="cst_wskakunin_kanri12_DOC">DATA!$F$775</definedName>
    <definedName name="cst_wskakunin_kanri12_JIMU__sikaku">DATA!$F$767</definedName>
    <definedName name="cst_wskakunin_kanri12_JIMU_NAME">DATA!$F$771</definedName>
    <definedName name="cst_wskakunin_kanri12_JIMU_NO">DATA!$F$770</definedName>
    <definedName name="cst_wskakunin_kanri12_JIMU_SIKAKU">DATA!$F$768</definedName>
    <definedName name="cst_wskakunin_kanri12_JIMU_TOUROKU_KIKAN">DATA!$F$769</definedName>
    <definedName name="cst_wskakunin_kanri12_KENTIKUSI_NO">DATA!$F$765</definedName>
    <definedName name="cst_wskakunin_kanri12_NAME">DATA!$F$766</definedName>
    <definedName name="cst_wskakunin_kanri12_SIKAKU">DATA!$F$763</definedName>
    <definedName name="cst_wskakunin_kanri12_TEL">DATA!$F$774</definedName>
    <definedName name="cst_wskakunin_kanri12_TOUROKU_KIKAN">DATA!$F$764</definedName>
    <definedName name="cst_wskakunin_kanri12_ZIP">DATA!$F$772</definedName>
    <definedName name="cst_wskakunin_kanri2__address">DATA!$F$613</definedName>
    <definedName name="cst_wskakunin_kanri2__sikaku">DATA!$F$602</definedName>
    <definedName name="cst_wskakunin_kanri2_DOC">DATA!$F$615</definedName>
    <definedName name="cst_wskakunin_kanri2_JIMU">DATA!$F$607</definedName>
    <definedName name="cst_wskakunin_kanri2_JIMU_NAME">DATA!$F$611</definedName>
    <definedName name="cst_wskakunin_kanri2_JIMU_NO">DATA!$F$610</definedName>
    <definedName name="cst_wskakunin_kanri2_JIMU_SIKAKU">DATA!$F$608</definedName>
    <definedName name="cst_wskakunin_kanri2_JIMU_TOUROKU_KIKAN">DATA!$F$609</definedName>
    <definedName name="cst_wskakunin_kanri2_KENTIKUSI_NO">DATA!$F$605</definedName>
    <definedName name="cst_wskakunin_kanri2_NAME">DATA!$F$606</definedName>
    <definedName name="cst_wskakunin_kanri2_SIKAKU">DATA!$F$603</definedName>
    <definedName name="cst_wskakunin_kanri2_TEL">DATA!$F$614</definedName>
    <definedName name="cst_wskakunin_kanri2_TOUROKU_KIKAN">DATA!$F$604</definedName>
    <definedName name="cst_wskakunin_kanri2_ZIP">DATA!$F$612</definedName>
    <definedName name="cst_wskakunin_kanri3__address">DATA!$F$629</definedName>
    <definedName name="cst_wskakunin_kanri3__sikaku">DATA!$F$618</definedName>
    <definedName name="cst_wskakunin_kanri3_DOC">DATA!$F$631</definedName>
    <definedName name="cst_wskakunin_kanri3_JIMU__sikaku">DATA!$F$623</definedName>
    <definedName name="cst_wskakunin_kanri3_JIMU_NAME">DATA!$F$627</definedName>
    <definedName name="cst_wskakunin_kanri3_JIMU_NO">DATA!$F$626</definedName>
    <definedName name="cst_wskakunin_kanri3_JIMU_SIKAKU">DATA!$F$624</definedName>
    <definedName name="cst_wskakunin_kanri3_JIMU_TOUROKU_KIKAN">DATA!$F$625</definedName>
    <definedName name="cst_wskakunin_kanri3_KENTIKUSI_NO">DATA!$F$621</definedName>
    <definedName name="cst_wskakunin_kanri3_NAME">DATA!$F$622</definedName>
    <definedName name="cst_wskakunin_kanri3_SIKAKU">DATA!$F$619</definedName>
    <definedName name="cst_wskakunin_kanri3_TEL">DATA!$F$630</definedName>
    <definedName name="cst_wskakunin_kanri3_TOUROKU_KIKAN">DATA!$F$620</definedName>
    <definedName name="cst_wskakunin_kanri3_ZIP">DATA!$F$628</definedName>
    <definedName name="cst_wskakunin_kanri4__address">DATA!$F$645</definedName>
    <definedName name="cst_wskakunin_kanri4__sikaku">DATA!$F$634</definedName>
    <definedName name="cst_wskakunin_kanri4_DOC">DATA!$F$647</definedName>
    <definedName name="cst_wskakunin_kanri4_JIMU__sikaku">DATA!$F$639</definedName>
    <definedName name="cst_wskakunin_kanri4_JIMU_NAME">DATA!$F$643</definedName>
    <definedName name="cst_wskakunin_kanri4_JIMU_NO">DATA!$F$642</definedName>
    <definedName name="cst_wskakunin_kanri4_JIMU_SIKAKU">DATA!$F$640</definedName>
    <definedName name="cst_wskakunin_kanri4_JIMU_TOUROKU_KIKAN">DATA!$F$641</definedName>
    <definedName name="cst_wskakunin_kanri4_KENTIKUSI_NO">DATA!$F$637</definedName>
    <definedName name="cst_wskakunin_kanri4_NAME">DATA!$F$638</definedName>
    <definedName name="cst_wskakunin_kanri4_SIKAKU">DATA!$F$635</definedName>
    <definedName name="cst_wskakunin_kanri4_TEL">DATA!$F$646</definedName>
    <definedName name="cst_wskakunin_kanri4_TOUROKU_KIKAN">DATA!$F$636</definedName>
    <definedName name="cst_wskakunin_kanri4_ZIP">DATA!$F$644</definedName>
    <definedName name="cst_wskakunin_kanri5__address">DATA!$F$661</definedName>
    <definedName name="cst_wskakunin_kanri5__sikaku">DATA!$F$650</definedName>
    <definedName name="cst_wskakunin_kanri5_DOC">DATA!$F$663</definedName>
    <definedName name="cst_wskakunin_kanri5_JIMU__sikaku">DATA!$F$655</definedName>
    <definedName name="cst_wskakunin_kanri5_JIMU_NAME">DATA!$F$659</definedName>
    <definedName name="cst_wskakunin_kanri5_JIMU_NO">DATA!$F$658</definedName>
    <definedName name="cst_wskakunin_kanri5_JIMU_SIKAKU">DATA!$F$656</definedName>
    <definedName name="cst_wskakunin_kanri5_JIMU_TOUROKU_KIKAN">DATA!$F$657</definedName>
    <definedName name="cst_wskakunin_kanri5_KENTIKUSI_NO">DATA!$F$653</definedName>
    <definedName name="cst_wskakunin_kanri5_NAME">DATA!$F$654</definedName>
    <definedName name="cst_wskakunin_kanri5_SIKAKU">DATA!$F$651</definedName>
    <definedName name="cst_wskakunin_kanri5_TEL">DATA!$F$662</definedName>
    <definedName name="cst_wskakunin_kanri5_TOUROKU_KIKAN">DATA!$F$652</definedName>
    <definedName name="cst_wskakunin_kanri5_ZIP">DATA!$F$660</definedName>
    <definedName name="cst_wskakunin_kanri6__address">DATA!$F$677</definedName>
    <definedName name="cst_wskakunin_kanri6__sikaku">DATA!$F$666</definedName>
    <definedName name="cst_wskakunin_kanri6_DOC">DATA!$F$679</definedName>
    <definedName name="cst_wskakunin_kanri6_JIMU__sikaku">DATA!$F$671</definedName>
    <definedName name="cst_wskakunin_kanri6_JIMU_NAME">DATA!$F$675</definedName>
    <definedName name="cst_wskakunin_kanri6_JIMU_NO">DATA!$F$674</definedName>
    <definedName name="cst_wskakunin_kanri6_JIMU_SIKAKU">DATA!$F$672</definedName>
    <definedName name="cst_wskakunin_kanri6_JIMU_TOUROKU_KIKAN">DATA!$F$673</definedName>
    <definedName name="cst_wskakunin_kanri6_KENTIKUSI_NO">DATA!$F$669</definedName>
    <definedName name="cst_wskakunin_kanri6_NAME">DATA!$F$670</definedName>
    <definedName name="cst_wskakunin_kanri6_SIKAKU">DATA!$F$667</definedName>
    <definedName name="cst_wskakunin_kanri6_TEL">DATA!$F$678</definedName>
    <definedName name="cst_wskakunin_kanri6_TOUROKU_KIKAN">DATA!$F$668</definedName>
    <definedName name="cst_wskakunin_kanri6_ZIP">DATA!$F$676</definedName>
    <definedName name="cst_wskakunin_kanri7__address">DATA!$F$693</definedName>
    <definedName name="cst_wskakunin_kanri7__sikaku">DATA!$F$682</definedName>
    <definedName name="cst_wskakunin_kanri7_DOC">DATA!$F$695</definedName>
    <definedName name="cst_wskakunin_kanri7_JIMU__sikaku">DATA!$F$687</definedName>
    <definedName name="cst_wskakunin_kanri7_JIMU_NAME">DATA!$F$691</definedName>
    <definedName name="cst_wskakunin_kanri7_JIMU_NO">DATA!$F$690</definedName>
    <definedName name="cst_wskakunin_kanri7_JIMU_SIKAKU">DATA!$F$688</definedName>
    <definedName name="cst_wskakunin_kanri7_JIMU_TOUROKU_KIKAN">DATA!$F$689</definedName>
    <definedName name="cst_wskakunin_kanri7_KENTIKUSI_NO">DATA!$F$685</definedName>
    <definedName name="cst_wskakunin_kanri7_NAME">DATA!$F$686</definedName>
    <definedName name="cst_wskakunin_kanri7_SIKAKU">DATA!$F$683</definedName>
    <definedName name="cst_wskakunin_kanri7_TEL">DATA!$F$694</definedName>
    <definedName name="cst_wskakunin_kanri7_TOUROKU_KIKAN">DATA!$F$684</definedName>
    <definedName name="cst_wskakunin_kanri7_ZIP">DATA!$F$692</definedName>
    <definedName name="cst_wskakunin_kanri8__address">DATA!$F$709</definedName>
    <definedName name="cst_wskakunin_kanri8__sikaku">DATA!$F$698</definedName>
    <definedName name="cst_wskakunin_kanri8_DOC">DATA!$F$711</definedName>
    <definedName name="cst_wskakunin_kanri8_JIMU__sikaku">DATA!$F$703</definedName>
    <definedName name="cst_wskakunin_kanri8_JIMU_NAME">DATA!$F$707</definedName>
    <definedName name="cst_wskakunin_kanri8_JIMU_NO">DATA!$F$706</definedName>
    <definedName name="cst_wskakunin_kanri8_JIMU_SIKAKU">DATA!$F$704</definedName>
    <definedName name="cst_wskakunin_kanri8_JIMU_TOUROKU_KIKAN">DATA!$F$705</definedName>
    <definedName name="cst_wskakunin_kanri8_KENTIKUSI_NO">DATA!$F$701</definedName>
    <definedName name="cst_wskakunin_kanri8_NAME">DATA!$F$702</definedName>
    <definedName name="cst_wskakunin_kanri8_SIKAKU">DATA!$F$699</definedName>
    <definedName name="cst_wskakunin_kanri8_TEL">DATA!$F$710</definedName>
    <definedName name="cst_wskakunin_kanri8_TOUROKU_KIKAN">DATA!$F$700</definedName>
    <definedName name="cst_wskakunin_kanri8_ZIP">DATA!$F$708</definedName>
    <definedName name="cst_wskakunin_kanri9__address">DATA!$F$725</definedName>
    <definedName name="cst_wskakunin_kanri9__sikaku">DATA!$F$714</definedName>
    <definedName name="cst_wskakunin_kanri9_DOC">DATA!$F$727</definedName>
    <definedName name="cst_wskakunin_kanri9_JIMU__sikaku">DATA!$F$719</definedName>
    <definedName name="cst_wskakunin_kanri9_JIMU_NAME">DATA!$F$723</definedName>
    <definedName name="cst_wskakunin_kanri9_JIMU_NO">DATA!$F$722</definedName>
    <definedName name="cst_wskakunin_kanri9_JIMU_SIKAKU">DATA!$F$720</definedName>
    <definedName name="cst_wskakunin_kanri9_JIMU_TOUROKU_KIKAN">DATA!$F$721</definedName>
    <definedName name="cst_wskakunin_kanri9_KENTIKUSI_NO">DATA!$F$717</definedName>
    <definedName name="cst_wskakunin_kanri9_NAME">DATA!$F$718</definedName>
    <definedName name="cst_wskakunin_kanri9_SIKAKU">DATA!$F$715</definedName>
    <definedName name="cst_wskakunin_kanri9_TEL">DATA!$F$726</definedName>
    <definedName name="cst_wskakunin_kanri9_TOUROKU_KIKAN">DATA!$F$716</definedName>
    <definedName name="cst_wskakunin_kanri9_ZIP">DATA!$F$724</definedName>
    <definedName name="cst_wskakunin_keibi_henkou01_HENKOU_GAIYOU">DATA!$F$1298</definedName>
    <definedName name="cst_wskakunin_keibi_henkou01_HENKOU_SYURUI">DATA!$F$1297</definedName>
    <definedName name="cst_wskakunin_KENPEI_RITU">DATA!$F$1020</definedName>
    <definedName name="cst_wskakunin_KENPEI_RITU_A">DATA!$F$959</definedName>
    <definedName name="cst_wskakunin_KENPEI_RITU_B">DATA!$F$960</definedName>
    <definedName name="cst_wskakunin_KENPEI_RITU_C">DATA!$F$961</definedName>
    <definedName name="cst_wskakunin_KENPEI_RITU_D">DATA!$F$962</definedName>
    <definedName name="cst_wskakunin_KENSA_YUKA_MENSEKI_select">DATA!$F$1206</definedName>
    <definedName name="cst_wskakunin_KENTIKU_MENSEKI_IGAI">DATA!$F$1018</definedName>
    <definedName name="cst_wskakunin_KENTIKU_MENSEKI_SHINSEI">DATA!$F$1017</definedName>
    <definedName name="cst_wskakunin_KENTIKU_MENSEKI_TOTAL">DATA!$F$1019</definedName>
    <definedName name="cst_wskakunin_KENTIKU_NINSYO_NO">DATA!$F$1194</definedName>
    <definedName name="cst_wskakunin_KIKAN_NAME">DATA!$F$56</definedName>
    <definedName name="cst_wskakunin_KOUJI_DAI_MOYOUGAE_box">DATA!$F$983</definedName>
    <definedName name="cst_wskakunin_KOUJI_DAI_SYUUZEN_box">DATA!$F$982</definedName>
    <definedName name="cst_wskakunin_KOUJI_ITEN_box">DATA!$F$980</definedName>
    <definedName name="cst_wskakunin_KOUJI_KAITIKU_box">DATA!$F$979</definedName>
    <definedName name="cst_wskakunin_KOUJI_KANRYOU_DATE_select">DATA!$F$1301</definedName>
    <definedName name="cst_wskakunin_KOUJI_KANRYOU_YOTEI_DATE">DATA!$F$1148</definedName>
    <definedName name="cst_wskakunin_KOUJI_KANRYOU_YOTEI_DATE_select">DATA!$F$1199</definedName>
    <definedName name="cst_wskakunin_KOUJI_SETUBI_box">DATA!$F$984</definedName>
    <definedName name="cst_wskakunin_KOUJI_SINTIKU_box">DATA!$F$977</definedName>
    <definedName name="cst_wskakunin_KOUJI_TYAKUSYU_DATE_select">DATA!$F$1196</definedName>
    <definedName name="cst_wskakunin_KOUJI_TYAKUSYU_YOTEI_DATE">DATA!$F$1146</definedName>
    <definedName name="cst_wskakunin_KOUJI_YOUTOHENKOU_box">DATA!$F$981</definedName>
    <definedName name="cst_wskakunin_KOUJI_zoukaitiku_box">DATA!$F$985</definedName>
    <definedName name="cst_wskakunin_KOUJI_ZOUTIKU_box">DATA!$F$978</definedName>
    <definedName name="cst_wskakunin_koutei_ikou01_KOUTEI_DATE">DATA!$F$1269</definedName>
    <definedName name="cst_wskakunin_koutei_ikou01_KOUTEI_DATE_inter1">DATA!$F$1279</definedName>
    <definedName name="cst_wskakunin_koutei_ikou01_KOUTEI_DATE_inter2">DATA!$F$1284</definedName>
    <definedName name="cst_wskakunin_koutei_ikou01_KOUTEI_KAISUU">DATA!$F$1267</definedName>
    <definedName name="cst_wskakunin_koutei_ikou01_KOUTEI_KAISUU_inter1">DATA!$F$1277</definedName>
    <definedName name="cst_wskakunin_koutei_ikou01_KOUTEI_KAISUU_inter2">DATA!$F$1282</definedName>
    <definedName name="cst_wskakunin_koutei_ikou01_KOUTEI_TEXT">DATA!$F$1268</definedName>
    <definedName name="cst_wskakunin_koutei_ikou01_KOUTEI_TEXT_inter1">DATA!$F$1278</definedName>
    <definedName name="cst_wskakunin_koutei_ikou01_KOUTEI_TEXT_inter2">DATA!$F$1283</definedName>
    <definedName name="cst_wskakunin_koutei_ikou02_KOUTEI_DATE">DATA!$F$1274</definedName>
    <definedName name="cst_wskakunin_koutei_ikou02_KOUTEI_DATE_inter1">DATA!$F$1289</definedName>
    <definedName name="cst_wskakunin_koutei_ikou02_KOUTEI_DATE_inter2">DATA!$F$1294</definedName>
    <definedName name="cst_wskakunin_koutei_ikou02_KOUTEI_KAISUU">DATA!$F$1272</definedName>
    <definedName name="cst_wskakunin_koutei_ikou02_KOUTEI_KAISUU_inter1">DATA!$F$1287</definedName>
    <definedName name="cst_wskakunin_koutei_ikou02_KOUTEI_KAISUU_inter2">DATA!$F$1292</definedName>
    <definedName name="cst_wskakunin_koutei_ikou02_KOUTEI_TEXT">DATA!$F$1273</definedName>
    <definedName name="cst_wskakunin_koutei_ikou02_KOUTEI_TEXT_inter1">DATA!$F$1288</definedName>
    <definedName name="cst_wskakunin_koutei_ikou02_KOUTEI_TEXT_inter2">DATA!$F$1293</definedName>
    <definedName name="cst_wskakunin_koutei_izen01_INTER_ISSUE_DATE">DATA!$F$1214</definedName>
    <definedName name="cst_wskakunin_koutei_izen01_INTER_ISSUE_DATE_inter1">DATA!$F$1242</definedName>
    <definedName name="cst_wskakunin_koutei_izen01_INTER_ISSUE_DATE_inter2">DATA!$F$1249</definedName>
    <definedName name="cst_wskakunin_koutei_izen01_INTER_ISSUE_NAME">DATA!$F$1212</definedName>
    <definedName name="cst_wskakunin_koutei_izen01_INTER_ISSUE_NAME_inter1">DATA!$F$1240</definedName>
    <definedName name="cst_wskakunin_koutei_izen01_INTER_ISSUE_NAME_inter2">DATA!$F$1247</definedName>
    <definedName name="cst_wskakunin_koutei_izen01_INTER_ISSUE_NO">DATA!$F$1213</definedName>
    <definedName name="cst_wskakunin_koutei_izen01_INTER_ISSUE_NO_inter1">DATA!$F$1241</definedName>
    <definedName name="cst_wskakunin_koutei_izen01_INTER_ISSUE_NO_inter2">DATA!$F$1248</definedName>
    <definedName name="cst_wskakunin_koutei_izen01_KOUTEI_KAISUU">DATA!$F$1210</definedName>
    <definedName name="cst_wskakunin_koutei_izen01_KOUTEI_KAISUU_inter1">DATA!$F$1238</definedName>
    <definedName name="cst_wskakunin_koutei_izen01_KOUTEI_KAISUU_inter2">DATA!$F$1245</definedName>
    <definedName name="cst_wskakunin_koutei_izen01_KOUTEI_TEXT">DATA!$F$1211</definedName>
    <definedName name="cst_wskakunin_koutei_izen01_KOUTEI_TEXT_inter1">DATA!$F$1239</definedName>
    <definedName name="cst_wskakunin_koutei_izen01_KOUTEI_TEXT_inter2">DATA!$F$1246</definedName>
    <definedName name="cst_wskakunin_koutei_izen02_INTER_ISSUE_DATE">DATA!$F$1221</definedName>
    <definedName name="cst_wskakunin_koutei_izen02_INTER_ISSUE_DATE_inter1">DATA!$F$1256</definedName>
    <definedName name="cst_wskakunin_koutei_izen02_INTER_ISSUE_DATE_inter2">DATA!$F$1263</definedName>
    <definedName name="cst_wskakunin_koutei_izen02_INTER_ISSUE_NAME">DATA!$F$1219</definedName>
    <definedName name="cst_wskakunin_koutei_izen02_INTER_ISSUE_NAME_inter1">DATA!$F$1254</definedName>
    <definedName name="cst_wskakunin_koutei_izen02_INTER_ISSUE_NAME_inter2">DATA!$F$1261</definedName>
    <definedName name="cst_wskakunin_koutei_izen02_INTER_ISSUE_NO">DATA!$F$1220</definedName>
    <definedName name="cst_wskakunin_koutei_izen02_INTER_ISSUE_NO_inter1">DATA!$F$1255</definedName>
    <definedName name="cst_wskakunin_koutei_izen02_INTER_ISSUE_NO_inter2">DATA!$F$1262</definedName>
    <definedName name="cst_wskakunin_koutei_izen02_KOUTEI_KAISUU">DATA!$F$1217</definedName>
    <definedName name="cst_wskakunin_koutei_izen02_KOUTEI_KAISUU_inter1">DATA!$F$1252</definedName>
    <definedName name="cst_wskakunin_koutei_izen02_KOUTEI_KAISUU_inter2">DATA!$F$1259</definedName>
    <definedName name="cst_wskakunin_koutei_izen02_KOUTEI_TEXT">DATA!$F$1218</definedName>
    <definedName name="cst_wskakunin_koutei_izen02_KOUTEI_TEXT_inter1">DATA!$F$1253</definedName>
    <definedName name="cst_wskakunin_koutei_izen02_KOUTEI_TEXT_inter2">DATA!$F$1260</definedName>
    <definedName name="cst_wskakunin_koutei_izen03_INTER_ISSUE_DATE">DATA!$F$1228</definedName>
    <definedName name="cst_wskakunin_koutei_izen03_INTER_ISSUE_NAME">DATA!$F$1226</definedName>
    <definedName name="cst_wskakunin_koutei_izen03_INTER_ISSUE_NO">DATA!$F$1227</definedName>
    <definedName name="cst_wskakunin_koutei_izen03_KOUTEI_KAISUU">DATA!$F$1224</definedName>
    <definedName name="cst_wskakunin_koutei_izen03_KOUTEI_TEXT">DATA!$F$1225</definedName>
    <definedName name="cst_wskakunin_koutei_izen04_INTER_ISSUE_DATE">DATA!$F$1235</definedName>
    <definedName name="cst_wskakunin_koutei_izen04_INTER_ISSUE_NAME">DATA!$F$1233</definedName>
    <definedName name="cst_wskakunin_koutei_izen04_INTER_ISSUE_NO">DATA!$F$1234</definedName>
    <definedName name="cst_wskakunin_koutei_izen04_KOUTEI_KAISUU">DATA!$F$1231</definedName>
    <definedName name="cst_wskakunin_koutei_izen04_KOUTEI_TEXT">DATA!$F$1232</definedName>
    <definedName name="cst_wskakunin_koutei_keika01_INTER_ISSUE_DATE_select">DATA!$F$1315</definedName>
    <definedName name="cst_wskakunin_koutei_keika01_INTER_ISSUE_NAME_select">DATA!$F$1313</definedName>
    <definedName name="cst_wskakunin_koutei_keika01_INTER_ISSUE_NO_select">DATA!$F$1314</definedName>
    <definedName name="cst_wskakunin_koutei_keika01_KOUTEI_KAISUU_select">DATA!$F$1311</definedName>
    <definedName name="cst_wskakunin_koutei_keika01_KOUTEI_TEXT_select">DATA!$F$1312</definedName>
    <definedName name="cst_wskakunin_koutei_keika02_INTER_ISSUE_DATE_select">DATA!$F$1330</definedName>
    <definedName name="cst_wskakunin_koutei_keika02_INTER_ISSUE_NAME_select">DATA!$F$1328</definedName>
    <definedName name="cst_wskakunin_koutei_keika02_INTER_ISSUE_NO_select">DATA!$F$1329</definedName>
    <definedName name="cst_wskakunin_koutei_keika02_KOUTEI_KAISUU_select">DATA!$F$1326</definedName>
    <definedName name="cst_wskakunin_koutei_keika02_KOUTEI_TEXT_select">DATA!$F$1327</definedName>
    <definedName name="cst_wskakunin_koutei01_INTER_ISSUE_DATE">DATA!$F$1308</definedName>
    <definedName name="cst_wskakunin_koutei01_INTER_ISSUE_NAME">DATA!$F$1306</definedName>
    <definedName name="cst_wskakunin_koutei01_INTER_ISSUE_NO">DATA!$F$1307</definedName>
    <definedName name="cst_wskakunin_koutei01_KOUTEI_DATE">DATA!$F$1157</definedName>
    <definedName name="cst_wskakunin_koutei01_KOUTEI_KAISUU">DATA!$F$1156</definedName>
    <definedName name="cst_wskakunin_koutei01_KOUTEI_TEXT">DATA!$F$1158</definedName>
    <definedName name="cst_wskakunin_koutei02_INTER_ISSUE_DATE">DATA!$F$1322</definedName>
    <definedName name="cst_wskakunin_koutei02_INTER_ISSUE_NAME">DATA!$F$1320</definedName>
    <definedName name="cst_wskakunin_koutei02_INTER_ISSUE_NO">DATA!$F$1321</definedName>
    <definedName name="cst_wskakunin_koutei02_KOUTEI_DATE">DATA!$F$1162</definedName>
    <definedName name="cst_wskakunin_koutei02_KOUTEI_KAISUU">DATA!$F$1161</definedName>
    <definedName name="cst_wskakunin_koutei02_KOUTEI_TEXT">DATA!$F$1163</definedName>
    <definedName name="cst_wskakunin_koutei03_KOUTEI_DATE">DATA!$F$1167</definedName>
    <definedName name="cst_wskakunin_koutei03_KOUTEI_KAISUU">DATA!$F$1166</definedName>
    <definedName name="cst_wskakunin_koutei03_KOUTEI_TEXT">DATA!$F$1168</definedName>
    <definedName name="cst_wskakunin_koutei04_KOUTEI_DATE">DATA!$F$1172</definedName>
    <definedName name="cst_wskakunin_koutei04_KOUTEI_KAISUU">DATA!$F$1171</definedName>
    <definedName name="cst_wskakunin_koutei04_KOUTEI_TEXT">DATA!$F$1173</definedName>
    <definedName name="cst_wskakunin_KOUZOU">DATA!$F$1108</definedName>
    <definedName name="cst_wskakunin_KOUZOU_mokuzou">DATA!$F$1106</definedName>
    <definedName name="cst_wskakunin_KOUZOU_zairai">DATA!$F$1107</definedName>
    <definedName name="cst_wskakunin_KOUZOU1">DATA!$F$1104</definedName>
    <definedName name="cst_wskakunin_KOUZOU2">DATA!$F$1105</definedName>
    <definedName name="cst_wskakunin_KUIKI_HISETTEI">DATA!$F$922</definedName>
    <definedName name="cst_wskakunin_KUIKI_JYUN_TOSHI">DATA!$F$923</definedName>
    <definedName name="cst_wskakunin_KUIKI_KUIKIGAI">DATA!$F$924</definedName>
    <definedName name="cst_wskakunin_KUIKI_SIGAIKA">DATA!$F$919</definedName>
    <definedName name="cst_wskakunin_KUIKI_TOSI">DATA!$F$916</definedName>
    <definedName name="cst_wskakunin_KUIKI_TYOSEI">DATA!$F$921</definedName>
    <definedName name="cst_wskakunin_kyoka_HOUREI_all">DATA!$F$1144</definedName>
    <definedName name="cst_wskakunin_kyoka01_BIKOU">DATA!$F$1125</definedName>
    <definedName name="cst_wskakunin_kyoka01_HOUREI">DATA!$F$1121</definedName>
    <definedName name="cst_wskakunin_kyoka01_JOUKOU">DATA!$F$1122</definedName>
    <definedName name="cst_wskakunin_kyoka01_KYOKA_DATE">DATA!$F$1124</definedName>
    <definedName name="cst_wskakunin_kyoka01_KYOKA_NO">DATA!$F$1123</definedName>
    <definedName name="cst_wskakunin_kyoka02_BIKOU">DATA!$F$1133</definedName>
    <definedName name="cst_wskakunin_kyoka02_HOUREI">DATA!$F$1129</definedName>
    <definedName name="cst_wskakunin_kyoka02_JOUKOU">DATA!$F$1130</definedName>
    <definedName name="cst_wskakunin_kyoka02_KYOKA_DATE">DATA!$F$1132</definedName>
    <definedName name="cst_wskakunin_kyoka02_KYOKA_NO">DATA!$F$1131</definedName>
    <definedName name="cst_wskakunin_kyoka03_BIKOU">DATA!$F$1141</definedName>
    <definedName name="cst_wskakunin_kyoka03_HOUREI">DATA!$F$1137</definedName>
    <definedName name="cst_wskakunin_kyoka03_JOUKOU">DATA!$F$1138</definedName>
    <definedName name="cst_wskakunin_kyoka03_KYOKA_DATE">DATA!$F$1140</definedName>
    <definedName name="cst_wskakunin_kyoka03_KYOKA_NO">DATA!$F$1139</definedName>
    <definedName name="cst_wskakunin_LAST_ISSUE_DATE">DATA!$F$61</definedName>
    <definedName name="cst_wskakunin_LAST_ISSUE_NAME">DATA!$F$62</definedName>
    <definedName name="cst_wskakunin_LAST_ISSUE_NO">DATA!$F$60</definedName>
    <definedName name="cst_wskakunin_LIMIT_KENPEI_RITU">DATA!$F$967</definedName>
    <definedName name="cst_wskakunin_LIMIT_YOUSEKI_RITU">DATA!$F$966</definedName>
    <definedName name="cst_wskakunin_NOBE_MENSEKI">DATA!$F$1084</definedName>
    <definedName name="cst_wskakunin_NOBE_MENSEKI_BITIKUSOUKO_IGAI">DATA!$F$1050</definedName>
    <definedName name="cst_wskakunin_NOBE_MENSEKI_BITIKUSOUKO_SHINSEI">DATA!$F$1049</definedName>
    <definedName name="cst_wskakunin_NOBE_MENSEKI_BITIKUSOUKO_TOTAL">DATA!$F$1051</definedName>
    <definedName name="cst_wskakunin_NOBE_MENSEKI_BUILD_IGAI">DATA!$F$1025</definedName>
    <definedName name="cst_wskakunin_NOBE_MENSEKI_BUILD_SHINSEI">DATA!$F$1024</definedName>
    <definedName name="cst_wskakunin_NOBE_MENSEKI_BUILD_TOTAL">DATA!$F$1026</definedName>
    <definedName name="cst_wskakunin_NOBE_MENSEKI_CHOSUISOU_IGAI">DATA!$F$1065</definedName>
    <definedName name="cst_wskakunin_NOBE_MENSEKI_CHOSUISOU_SHINSEI">DATA!$F$1064</definedName>
    <definedName name="cst_wskakunin_NOBE_MENSEKI_CHOSUISOU_TOTAL">DATA!$F$1066</definedName>
    <definedName name="cst_wskakunin_NOBE_MENSEKI_JIKAHATUDEN_IGAI">DATA!$F$1060</definedName>
    <definedName name="cst_wskakunin_NOBE_MENSEKI_JIKAHATUDEN_SHINSEI">DATA!$F$1059</definedName>
    <definedName name="cst_wskakunin_NOBE_MENSEKI_JIKAHATUDEN_TOTAL">DATA!$F$1061</definedName>
    <definedName name="cst_wskakunin_NOBE_MENSEKI_JYUTAKU_IGAI">DATA!$F$1075</definedName>
    <definedName name="cst_wskakunin_NOBE_MENSEKI_JYUTAKU_SHINSEI">DATA!$F$1074</definedName>
    <definedName name="cst_wskakunin_NOBE_MENSEKI_JYUTAKU_TOTAL">DATA!$F$1076</definedName>
    <definedName name="cst_wskakunin_NOBE_MENSEKI_KYOYOU_IGAI">DATA!$F$1040</definedName>
    <definedName name="cst_wskakunin_NOBE_MENSEKI_KYOYOU_SHINSEI">DATA!$F$1039</definedName>
    <definedName name="cst_wskakunin_NOBE_MENSEKI_KYOYOU_TOTAL">DATA!$F$1041</definedName>
    <definedName name="cst_wskakunin_NOBE_MENSEKI_ROUJIN_IGAI">DATA!$F$1080</definedName>
    <definedName name="cst_wskakunin_NOBE_MENSEKI_ROUJIN_SHINSEI">DATA!$F$1079</definedName>
    <definedName name="cst_wskakunin_NOBE_MENSEKI_ROUJIN_TOTAL">DATA!$F$1081</definedName>
    <definedName name="cst_wskakunin_NOBE_MENSEKI_SYAKO_IGAI">DATA!$F$1045</definedName>
    <definedName name="cst_wskakunin_NOBE_MENSEKI_SYAKO_SHINSEI">DATA!$F$1044</definedName>
    <definedName name="cst_wskakunin_NOBE_MENSEKI_SYAKO_TOTAL">DATA!$F$1046</definedName>
    <definedName name="cst_wskakunin_NOBE_MENSEKI_SYOUKOURO_IGAI">DATA!$F$1035</definedName>
    <definedName name="cst_wskakunin_NOBE_MENSEKI_SYOUKOURO_SHINSEI">DATA!$F$1034</definedName>
    <definedName name="cst_wskakunin_NOBE_MENSEKI_SYOUKOURO_TOTAL">DATA!$F$1036</definedName>
    <definedName name="cst_wskakunin_NOBE_MENSEKI_TAKUHAI_IGAI">DATA!$F$1070</definedName>
    <definedName name="cst_wskakunin_NOBE_MENSEKI_TAKUHAI_SHINSEI">DATA!$F$1069</definedName>
    <definedName name="cst_wskakunin_NOBE_MENSEKI_TAKUHAI_TOTAL">DATA!$F$1071</definedName>
    <definedName name="cst_wskakunin_NOBE_MENSEKI_TIKAI_IGAI">DATA!$F$1030</definedName>
    <definedName name="cst_wskakunin_NOBE_MENSEKI_TIKAI_SHINSEI">DATA!$F$1029</definedName>
    <definedName name="cst_wskakunin_NOBE_MENSEKI_TIKAI_TOTAL">DATA!$F$1031</definedName>
    <definedName name="cst_wskakunin_NOBE_MENSEKI_TIKUDENTI_IGAI">DATA!$F$1055</definedName>
    <definedName name="cst_wskakunin_NOBE_MENSEKI_TIKUDENTI_SHINSEI">DATA!$F$1054</definedName>
    <definedName name="cst_wskakunin_NOBE_MENSEKI_TIKUDENTI_TOTAL">DATA!$F$1056</definedName>
    <definedName name="cst_wskakunin_owner1__address">DATA!$F$86</definedName>
    <definedName name="cst_wskakunin_owner1__line1">DATA!$F$93</definedName>
    <definedName name="cst_wskakunin_owner1__line2">DATA!$F$94</definedName>
    <definedName name="cst_wskakunin_owner1__space">DATA!$F$89</definedName>
    <definedName name="cst_wskakunin_owner1__space_KANA">DATA!$F$82</definedName>
    <definedName name="cst_wskakunin_owner1__space_KANA2">DATA!$F$83</definedName>
    <definedName name="cst_wskakunin_owner1__space2">DATA!$F$90</definedName>
    <definedName name="cst_wskakunin_owner1__space3">DATA!$F$91</definedName>
    <definedName name="cst_wskakunin_owner1__space4">DATA!$F$92</definedName>
    <definedName name="cst_wskakunin_owner1_JIMU_NAME">DATA!$F$76</definedName>
    <definedName name="cst_wskakunin_owner1_JIMU_NAME_KANA">DATA!$F$77</definedName>
    <definedName name="cst_wskakunin_owner1_NAME">DATA!$F$80</definedName>
    <definedName name="cst_wskakunin_owner1_NAME_KANA">DATA!$F$81</definedName>
    <definedName name="cst_wskakunin_owner1_POST">DATA!$F$78</definedName>
    <definedName name="cst_wskakunin_owner1_POST_KANA">DATA!$F$79</definedName>
    <definedName name="cst_wskakunin_owner1_TEL">DATA!$F$87</definedName>
    <definedName name="cst_wskakunin_owner1_TEL_dsp">DATA!$F$88</definedName>
    <definedName name="cst_wskakunin_owner1_ZIP">DATA!$F$84</definedName>
    <definedName name="cst_wskakunin_owner1_ZIP2">DATA!$F$85</definedName>
    <definedName name="cst_wskakunin_owner2__address">DATA!$F$104</definedName>
    <definedName name="cst_wskakunin_owner2__space">DATA!$F$106</definedName>
    <definedName name="cst_wskakunin_owner2__space2">DATA!$F$107</definedName>
    <definedName name="cst_wskakunin_owner2__space3">DATA!$F$108</definedName>
    <definedName name="cst_wskakunin_owner2_JIMU_NAME">DATA!$F$97</definedName>
    <definedName name="cst_wskakunin_owner2_JIMU_NAME_KANA">DATA!$F$98</definedName>
    <definedName name="cst_wskakunin_owner2_NAME">DATA!$F$101</definedName>
    <definedName name="cst_wskakunin_owner2_NAME_KANA">DATA!$F$102</definedName>
    <definedName name="cst_wskakunin_owner2_POST">DATA!$F$99</definedName>
    <definedName name="cst_wskakunin_owner2_POST_KANA">DATA!$F$100</definedName>
    <definedName name="cst_wskakunin_owner2_TEL">DATA!$F$105</definedName>
    <definedName name="cst_wskakunin_owner2_ZIP">DATA!$F$103</definedName>
    <definedName name="cst_wskakunin_owner3__address">DATA!$F$118</definedName>
    <definedName name="cst_wskakunin_owner3__space">DATA!$F$120</definedName>
    <definedName name="cst_wskakunin_owner3__space2">DATA!$F$121</definedName>
    <definedName name="cst_wskakunin_owner3_JIMU_NAME">DATA!$F$111</definedName>
    <definedName name="cst_wskakunin_owner3_JIMU_NAME_KANA">DATA!$F$112</definedName>
    <definedName name="cst_wskakunin_owner3_NAME">DATA!$F$115</definedName>
    <definedName name="cst_wskakunin_owner3_NAME_KANA">DATA!$F$116</definedName>
    <definedName name="cst_wskakunin_owner3_POST">DATA!$F$113</definedName>
    <definedName name="cst_wskakunin_owner3_POST_KANA">DATA!$F$114</definedName>
    <definedName name="cst_wskakunin_owner3_TEL">DATA!$F$119</definedName>
    <definedName name="cst_wskakunin_owner3_ZIP">DATA!$F$117</definedName>
    <definedName name="cst_wskakunin_owner4__address">DATA!$F$131</definedName>
    <definedName name="cst_wskakunin_owner4__space">DATA!$F$133</definedName>
    <definedName name="cst_wskakunin_owner4_JIMU_NAME">DATA!$F$124</definedName>
    <definedName name="cst_wskakunin_owner4_JIMU_NAME_KANA">DATA!$F$125</definedName>
    <definedName name="cst_wskakunin_owner4_NAME">DATA!$F$128</definedName>
    <definedName name="cst_wskakunin_owner4_NAME_KANA">DATA!$F$129</definedName>
    <definedName name="cst_wskakunin_owner4_POST">DATA!$F$126</definedName>
    <definedName name="cst_wskakunin_owner4_POST_KANA">DATA!$F$127</definedName>
    <definedName name="cst_wskakunin_owner4_TEL">DATA!$F$132</definedName>
    <definedName name="cst_wskakunin_owner4_ZIP">DATA!$F$130</definedName>
    <definedName name="cst_wskakunin_owner5__address">DATA!$F$143</definedName>
    <definedName name="cst_wskakunin_owner5__space">DATA!$F$145</definedName>
    <definedName name="cst_wskakunin_owner5_JIMU_NAME">DATA!$F$136</definedName>
    <definedName name="cst_wskakunin_owner5_JIMU_NAME_KANA">DATA!$F$137</definedName>
    <definedName name="cst_wskakunin_owner5_NAME">DATA!$F$140</definedName>
    <definedName name="cst_wskakunin_owner5_NAME_KANA">DATA!$F$141</definedName>
    <definedName name="cst_wskakunin_owner5_POST">DATA!$F$138</definedName>
    <definedName name="cst_wskakunin_owner5_POST_KANA">DATA!$F$139</definedName>
    <definedName name="cst_wskakunin_owner5_TEL">DATA!$F$144</definedName>
    <definedName name="cst_wskakunin_owner5_ZIP">DATA!$F$142</definedName>
    <definedName name="cst_wskakunin_owner6__address">DATA!$F$155</definedName>
    <definedName name="cst_wskakunin_owner6__space2">DATA!$F$166</definedName>
    <definedName name="cst_wskakunin_owner6__space3">DATA!$F$157</definedName>
    <definedName name="cst_wskakunin_owner6_JIMU_NAME">DATA!$F$148</definedName>
    <definedName name="cst_wskakunin_owner6_JIMU_NAME_KANA">DATA!$F$149</definedName>
    <definedName name="cst_wskakunin_owner6_NAME">DATA!$F$152</definedName>
    <definedName name="cst_wskakunin_owner6_NAME_KANA">DATA!$F$153</definedName>
    <definedName name="cst_wskakunin_owner6_POST">DATA!$F$150</definedName>
    <definedName name="cst_wskakunin_owner6_POST_KANA">DATA!$F$151</definedName>
    <definedName name="cst_wskakunin_owner6_TEL">DATA!$F$156</definedName>
    <definedName name="cst_wskakunin_owner6_ZIP">DATA!$F$154</definedName>
    <definedName name="cst_wskakunin_owner7__address">DATA!$F$167</definedName>
    <definedName name="cst_wskakunin_owner7_JIMU_NAME">DATA!$F$160</definedName>
    <definedName name="cst_wskakunin_owner7_JIMU_NAME_KANA">DATA!$F$161</definedName>
    <definedName name="cst_wskakunin_owner7_NAME">DATA!$F$164</definedName>
    <definedName name="cst_wskakunin_owner7_NAME_KANA">DATA!$F$165</definedName>
    <definedName name="cst_wskakunin_owner7_POST">DATA!$F$162</definedName>
    <definedName name="cst_wskakunin_owner7_POST_KANA">DATA!$F$163</definedName>
    <definedName name="cst_wskakunin_owner7_TEL">DATA!$F$168</definedName>
    <definedName name="cst_wskakunin_owner7_ZIP">DATA!$F$166</definedName>
    <definedName name="cst_wskakunin_owner8__address">DATA!$F$178</definedName>
    <definedName name="cst_wskakunin_owner8_JIMU_NAME">DATA!$F$171</definedName>
    <definedName name="cst_wskakunin_owner8_JIMU_NAME_KANA">DATA!$F$172</definedName>
    <definedName name="cst_wskakunin_owner8_NAME">DATA!$F$175</definedName>
    <definedName name="cst_wskakunin_owner8_NAME_KANA">DATA!$F$176</definedName>
    <definedName name="cst_wskakunin_owner8_POST">DATA!$F$173</definedName>
    <definedName name="cst_wskakunin_owner8_POST_KANA">DATA!$F$174</definedName>
    <definedName name="cst_wskakunin_owner8_TEL">DATA!$F$179</definedName>
    <definedName name="cst_wskakunin_owner8_ZIP">DATA!$F$177</definedName>
    <definedName name="cst_wskakunin_owner9__address">DATA!$F$189</definedName>
    <definedName name="cst_wskakunin_owner9_JIMU_NAME">DATA!$F$182</definedName>
    <definedName name="cst_wskakunin_owner9_JIMU_NAME_KANA">DATA!$F$183</definedName>
    <definedName name="cst_wskakunin_owner9_NAME">DATA!$F$186</definedName>
    <definedName name="cst_wskakunin_owner9_NAME_KANA">DATA!$F$187</definedName>
    <definedName name="cst_wskakunin_owner9_POST">DATA!$F$184</definedName>
    <definedName name="cst_wskakunin_owner9_POST_KANA">DATA!$F$185</definedName>
    <definedName name="cst_wskakunin_owner9_TEL">DATA!$F$190</definedName>
    <definedName name="cst_wskakunin_owner9_ZIP">DATA!$F$188</definedName>
    <definedName name="cst_wskakunin_P1_HENKOU_GAIYOU">DATA!$F$63</definedName>
    <definedName name="cst_wskakunin_P2_BIKOU">DATA!$F$844</definedName>
    <definedName name="cst_wskakunin_P3_BIKOU">DATA!$F$1181</definedName>
    <definedName name="cst_wskakunin_P3_SONOTA">DATA!$F$1179</definedName>
    <definedName name="cst_wskakunin_p4_1__kouji">DATA!$F$885</definedName>
    <definedName name="cst_wskakunin_p4_1_KAISU_TIKAI">DATA!$F$887</definedName>
    <definedName name="cst_wskakunin_p4_1_KAISU_TIKAI_NOZOKU">DATA!$F$886</definedName>
    <definedName name="cst_wskakunin_p4_1_KAISU_YUKA_MENSEKI_SHINSEI">DATA!$F$892</definedName>
    <definedName name="cst_wskakunin_p4_1_KOUZOU1">DATA!$F$888</definedName>
    <definedName name="cst_wskakunin_p4_1_KOUZOU2">DATA!$F$889</definedName>
    <definedName name="cst_wskakunin_p4_1_p5_1_KAI">DATA!$F$897</definedName>
    <definedName name="cst_wskakunin_p4_1_p5_1_P4_MENSEKI_SHINSEI">DATA!$F$898</definedName>
    <definedName name="cst_wskakunin_p4_1_p5_2_KAI">DATA!$F$899</definedName>
    <definedName name="cst_wskakunin_p4_1_p5_2_P4_MENSEKI_SHINSEI">DATA!$F$900</definedName>
    <definedName name="cst_wskakunin_p4_1_p5_3_KAI">DATA!$F$901</definedName>
    <definedName name="cst_wskakunin_p4_1_p5_3_P4_MENSEKI_SHINSEI">DATA!$F$902</definedName>
    <definedName name="cst_wskakunin_p4_1_TAKASA_KEN_MAX">DATA!$F$891</definedName>
    <definedName name="cst_wskakunin_p4_1_TAKASA_MAX">DATA!$F$890</definedName>
    <definedName name="cst_wskakunin_p4_1_TOKUREI_KAKUNIN_FLAG">DATA!$F$893</definedName>
    <definedName name="cst_wskakunin_p4_1_TOKUREI_KAKUNIN_FLAG_off">DATA!$F$895</definedName>
    <definedName name="cst_wskakunin_p4_1_TOKUREI_KAKUNIN_FLAG_on">DATA!$F$894</definedName>
    <definedName name="cst_wskakunin_p4_1_youto1_YOUTO">DATA!$F$876</definedName>
    <definedName name="cst_wskakunin_p4_1_youto1_YOUTO_1">DATA!$F$878</definedName>
    <definedName name="cst_wskakunin_p4_1_youto1_YOUTO_2">DATA!$F$879</definedName>
    <definedName name="cst_wskakunin_p4_1_youto1_YOUTO_3">DATA!$F$880</definedName>
    <definedName name="cst_wskakunin_p4_1_youto1_YOUTO_4">DATA!$F$881</definedName>
    <definedName name="cst_wskakunin_p4_1_youto1_YOUTO_5">DATA!$F$882</definedName>
    <definedName name="cst_wskakunin_p4_1_youto1_YOUTO_6">DATA!$F$883</definedName>
    <definedName name="cst_wskakunin_p4_1_youto1_YOUTO_9">DATA!$F$884</definedName>
    <definedName name="cst_wskakunin_p4_1_youto1_YOUTO_CODE">DATA!$F$877</definedName>
    <definedName name="cst_wskakunin_PAGE1_ALTERATION_NOTE">DATA!$F$70</definedName>
    <definedName name="cst_wskakunin_sekkei1__address">DATA!$F$298</definedName>
    <definedName name="cst_wskakunin_sekkei1__sikaku">DATA!$F$286</definedName>
    <definedName name="cst_wskakunin_sekkei1_DOC">DATA!$F$300</definedName>
    <definedName name="cst_wskakunin_sekkei1_JIMU__sikaku">DATA!$F$291</definedName>
    <definedName name="cst_wskakunin_sekkei1_JIMU_NAME">DATA!$F$295</definedName>
    <definedName name="cst_wskakunin_sekkei1_JIMU_NO">DATA!$F$294</definedName>
    <definedName name="cst_wskakunin_sekkei1_JIMU_SIKAKU">DATA!$F$292</definedName>
    <definedName name="cst_wskakunin_sekkei1_JIMU_TOUROKU_KIKAN">DATA!$F$293</definedName>
    <definedName name="cst_wskakunin_sekkei1_jimuname_name">DATA!$F$296</definedName>
    <definedName name="cst_wskakunin_sekkei1_KENTIKUSI_NO">DATA!$F$289</definedName>
    <definedName name="cst_wskakunin_sekkei1_NAME">DATA!$F$290</definedName>
    <definedName name="cst_wskakunin_sekkei1_SIKAKU">DATA!$F$287</definedName>
    <definedName name="cst_wskakunin_sekkei1_TEL">DATA!$F$299</definedName>
    <definedName name="cst_wskakunin_sekkei1_TOUROKU_KIKAN">DATA!$F$288</definedName>
    <definedName name="cst_wskakunin_sekkei1_ZIP">DATA!$F$297</definedName>
    <definedName name="cst_wskakunin_sekkei10__address">DATA!$F$451</definedName>
    <definedName name="cst_wskakunin_sekkei10__sikaku">DATA!$F$439</definedName>
    <definedName name="cst_wskakunin_sekkei10_DOC">DATA!$F$453</definedName>
    <definedName name="cst_wskakunin_sekkei10_JIMU__sikaku">DATA!$F$444</definedName>
    <definedName name="cst_wskakunin_sekkei10_JIMU_NAME">DATA!$F$448</definedName>
    <definedName name="cst_wskakunin_sekkei10_JIMU_NO">DATA!$F$447</definedName>
    <definedName name="cst_wskakunin_sekkei10_JIMU_SIKAKU">DATA!$F$445</definedName>
    <definedName name="cst_wskakunin_sekkei10_JIMU_TOUROKU_KIKAN">DATA!$F$446</definedName>
    <definedName name="cst_wskakunin_sekkei10_jimuname_name">DATA!$F$449</definedName>
    <definedName name="cst_wskakunin_sekkei10_KENTIKUSI_NO">DATA!$F$442</definedName>
    <definedName name="cst_wskakunin_sekkei10_NAME">DATA!$F$443</definedName>
    <definedName name="cst_wskakunin_sekkei10_SIKAKU">DATA!$F$440</definedName>
    <definedName name="cst_wskakunin_sekkei10_TEL">DATA!$F$452</definedName>
    <definedName name="cst_wskakunin_sekkei10_TOUROKU_KIKAN">DATA!$F$441</definedName>
    <definedName name="cst_wskakunin_sekkei10_ZIP">DATA!$F$450</definedName>
    <definedName name="cst_wskakunin_sekkei11__address">DATA!$F$468</definedName>
    <definedName name="cst_wskakunin_sekkei11__sikaku">DATA!$F$456</definedName>
    <definedName name="cst_wskakunin_sekkei11_DOC">DATA!$F$470</definedName>
    <definedName name="cst_wskakunin_sekkei11_JIMU__sikaku">DATA!$F$461</definedName>
    <definedName name="cst_wskakunin_sekkei11_JIMU_NAME">DATA!$F$465</definedName>
    <definedName name="cst_wskakunin_sekkei11_JIMU_NO">DATA!$F$464</definedName>
    <definedName name="cst_wskakunin_sekkei11_JIMU_SIKAKU">DATA!$F$462</definedName>
    <definedName name="cst_wskakunin_sekkei11_JIMU_TOUROKU_KIKAN">DATA!$F$463</definedName>
    <definedName name="cst_wskakunin_sekkei11_jimuname_name">DATA!$F$466</definedName>
    <definedName name="cst_wskakunin_sekkei11_KENTIKUSI_NO">DATA!$F$459</definedName>
    <definedName name="cst_wskakunin_sekkei11_NAME">DATA!$F$460</definedName>
    <definedName name="cst_wskakunin_sekkei11_SIKAKU">DATA!$F$457</definedName>
    <definedName name="cst_wskakunin_sekkei11_TEL">DATA!$F$469</definedName>
    <definedName name="cst_wskakunin_sekkei11_TOUROKU_KIKAN">DATA!$F$458</definedName>
    <definedName name="cst_wskakunin_sekkei11_ZIP">DATA!$F$467</definedName>
    <definedName name="cst_wskakunin_sekkei12__address">DATA!$F$485</definedName>
    <definedName name="cst_wskakunin_sekkei12__sikaku">DATA!$F$473</definedName>
    <definedName name="cst_wskakunin_sekkei12_DOC">DATA!$F$487</definedName>
    <definedName name="cst_wskakunin_sekkei12_JIMU__sikaku">DATA!$F$478</definedName>
    <definedName name="cst_wskakunin_sekkei12_JIMU_NAME">DATA!$F$482</definedName>
    <definedName name="cst_wskakunin_sekkei12_JIMU_NO">DATA!$F$481</definedName>
    <definedName name="cst_wskakunin_sekkei12_JIMU_SIKAKU">DATA!$F$479</definedName>
    <definedName name="cst_wskakunin_sekkei12_JIMU_TOUROKU_KIKAN">DATA!$F$480</definedName>
    <definedName name="cst_wskakunin_sekkei12_jimuname_name">DATA!$F$483</definedName>
    <definedName name="cst_wskakunin_sekkei12_KENTIKUSI_NO">DATA!$F$476</definedName>
    <definedName name="cst_wskakunin_sekkei12_NAME">DATA!$F$477</definedName>
    <definedName name="cst_wskakunin_sekkei12_SIKAKU">DATA!$F$474</definedName>
    <definedName name="cst_wskakunin_sekkei12_TEL">DATA!$F$486</definedName>
    <definedName name="cst_wskakunin_sekkei12_TOUROKU_KIKAN">DATA!$F$475</definedName>
    <definedName name="cst_wskakunin_sekkei12_ZIP">DATA!$F$484</definedName>
    <definedName name="cst_wskakunin_sekkei2__address">DATA!$F$315</definedName>
    <definedName name="cst_wskakunin_sekkei2__sikaku">DATA!$F$303</definedName>
    <definedName name="cst_wskakunin_sekkei2_DOC">DATA!$F$317</definedName>
    <definedName name="cst_wskakunin_sekkei2_JIMU__sikaku">DATA!$F$308</definedName>
    <definedName name="cst_wskakunin_sekkei2_JIMU_NAME">DATA!$F$312</definedName>
    <definedName name="cst_wskakunin_sekkei2_JIMU_NO">DATA!$F$311</definedName>
    <definedName name="cst_wskakunin_sekkei2_JIMU_SIKAKU">DATA!$F$309</definedName>
    <definedName name="cst_wskakunin_sekkei2_JIMU_TOUROKU_KIKAN">DATA!$F$310</definedName>
    <definedName name="cst_wskakunin_sekkei2_jimuname_name">DATA!$F$313</definedName>
    <definedName name="cst_wskakunin_sekkei2_KENTIKUSI_NO">DATA!$F$306</definedName>
    <definedName name="cst_wskakunin_sekkei2_NAME">DATA!$F$307</definedName>
    <definedName name="cst_wskakunin_sekkei2_SIKAKU">DATA!$F$304</definedName>
    <definedName name="cst_wskakunin_sekkei2_TEL">DATA!$F$316</definedName>
    <definedName name="cst_wskakunin_sekkei2_TOUROKU_KIKAN">DATA!$F$305</definedName>
    <definedName name="cst_wskakunin_sekkei2_ZIP">DATA!$F$314</definedName>
    <definedName name="cst_wskakunin_sekkei3__address">DATA!$F$332</definedName>
    <definedName name="cst_wskakunin_sekkei3__sikaku">DATA!$F$320</definedName>
    <definedName name="cst_wskakunin_sekkei3_DOC">DATA!$F$334</definedName>
    <definedName name="cst_wskakunin_sekkei3_JIMU__sikaku">DATA!$F$325</definedName>
    <definedName name="cst_wskakunin_sekkei3_JIMU_NAME">DATA!$F$329</definedName>
    <definedName name="cst_wskakunin_sekkei3_JIMU_NO">DATA!$F$328</definedName>
    <definedName name="cst_wskakunin_sekkei3_JIMU_SIKAKU">DATA!$F$326</definedName>
    <definedName name="cst_wskakunin_sekkei3_JIMU_TOUROKU_KIKAN">DATA!$F$327</definedName>
    <definedName name="cst_wskakunin_sekkei3_jimuname_name">DATA!$F$330</definedName>
    <definedName name="cst_wskakunin_sekkei3_KENTIKUSI_NO">DATA!$F$323</definedName>
    <definedName name="cst_wskakunin_sekkei3_NAME">DATA!$F$324</definedName>
    <definedName name="cst_wskakunin_sekkei3_SIKAKU">DATA!$F$321</definedName>
    <definedName name="cst_wskakunin_sekkei3_TEL">DATA!$F$333</definedName>
    <definedName name="cst_wskakunin_sekkei3_TOUROKU_KIKAN">DATA!$F$322</definedName>
    <definedName name="cst_wskakunin_sekkei3_ZIP">DATA!$F$331</definedName>
    <definedName name="cst_wskakunin_sekkei4__address">DATA!$F$349</definedName>
    <definedName name="cst_wskakunin_sekkei4__sikaku">DATA!$F$337</definedName>
    <definedName name="cst_wskakunin_sekkei4_DOC">DATA!$F$351</definedName>
    <definedName name="cst_wskakunin_sekkei4_JIMU__sikaku">DATA!$F$342</definedName>
    <definedName name="cst_wskakunin_sekkei4_JIMU_NAME">DATA!$F$346</definedName>
    <definedName name="cst_wskakunin_sekkei4_JIMU_NO">DATA!$F$345</definedName>
    <definedName name="cst_wskakunin_sekkei4_JIMU_SIKAKU">DATA!$F$343</definedName>
    <definedName name="cst_wskakunin_sekkei4_JIMU_TOUROKU_KIKAN">DATA!$F$344</definedName>
    <definedName name="cst_wskakunin_sekkei4_jimuname_name">DATA!$F$347</definedName>
    <definedName name="cst_wskakunin_sekkei4_KENTIKUSI_NO">DATA!$F$340</definedName>
    <definedName name="cst_wskakunin_sekkei4_NAME">DATA!$F$341</definedName>
    <definedName name="cst_wskakunin_sekkei4_SIKAKU">DATA!$F$338</definedName>
    <definedName name="cst_wskakunin_sekkei4_TEL">DATA!$F$350</definedName>
    <definedName name="cst_wskakunin_sekkei4_TOUROKU_KIKAN">DATA!$F$339</definedName>
    <definedName name="cst_wskakunin_sekkei4_ZIP">DATA!$F$348</definedName>
    <definedName name="cst_wskakunin_sekkei5__address">DATA!$F$366</definedName>
    <definedName name="cst_wskakunin_sekkei5__sikaku">DATA!$F$354</definedName>
    <definedName name="cst_wskakunin_sekkei5_DOC">DATA!$F$368</definedName>
    <definedName name="cst_wskakunin_sekkei5_JIMU__sikaku">DATA!$F$359</definedName>
    <definedName name="cst_wskakunin_sekkei5_JIMU_NAME">DATA!$F$363</definedName>
    <definedName name="cst_wskakunin_sekkei5_JIMU_NO">DATA!$F$362</definedName>
    <definedName name="cst_wskakunin_sekkei5_JIMU_SIKAKU">DATA!$F$360</definedName>
    <definedName name="cst_wskakunin_sekkei5_JIMU_TOUROKU_KIKAN">DATA!$F$361</definedName>
    <definedName name="cst_wskakunin_sekkei5_jimuname_name">DATA!$F$364</definedName>
    <definedName name="cst_wskakunin_sekkei5_KENTIKUSI_NO">DATA!$F$357</definedName>
    <definedName name="cst_wskakunin_sekkei5_NAME">DATA!$F$358</definedName>
    <definedName name="cst_wskakunin_sekkei5_SIKAKU">DATA!$F$355</definedName>
    <definedName name="cst_wskakunin_sekkei5_TEL">DATA!$F$367</definedName>
    <definedName name="cst_wskakunin_sekkei5_TOUROKU_KIKAN">DATA!$F$356</definedName>
    <definedName name="cst_wskakunin_sekkei5_ZIP">DATA!$F$365</definedName>
    <definedName name="cst_wskakunin_sekkei6__address">DATA!$F$383</definedName>
    <definedName name="cst_wskakunin_sekkei6__sikaku">DATA!$F$371</definedName>
    <definedName name="cst_wskakunin_sekkei6_DOC">DATA!$F$385</definedName>
    <definedName name="cst_wskakunin_sekkei6_JIMU__sikaku">DATA!$F$376</definedName>
    <definedName name="cst_wskakunin_sekkei6_JIMU_NAME">DATA!$F$380</definedName>
    <definedName name="cst_wskakunin_sekkei6_JIMU_NO">DATA!$F$379</definedName>
    <definedName name="cst_wskakunin_sekkei6_JIMU_SIKAKU">DATA!$F$377</definedName>
    <definedName name="cst_wskakunin_sekkei6_JIMU_TOUROKU_KIKAN">DATA!$F$378</definedName>
    <definedName name="cst_wskakunin_sekkei6_jimuname_name">DATA!$F$381</definedName>
    <definedName name="cst_wskakunin_sekkei6_KENTIKUSI_NO">DATA!$F$374</definedName>
    <definedName name="cst_wskakunin_sekkei6_NAME">DATA!$F$375</definedName>
    <definedName name="cst_wskakunin_sekkei6_SIKAKU">DATA!$F$372</definedName>
    <definedName name="cst_wskakunin_sekkei6_TEL">DATA!$F$384</definedName>
    <definedName name="cst_wskakunin_sekkei6_TOUROKU_KIKAN">DATA!$F$373</definedName>
    <definedName name="cst_wskakunin_sekkei6_ZIP">DATA!$F$382</definedName>
    <definedName name="cst_wskakunin_sekkei7__address">DATA!$F$400</definedName>
    <definedName name="cst_wskakunin_sekkei7__sikaku">DATA!$F$388</definedName>
    <definedName name="cst_wskakunin_sekkei7_DOC">DATA!$F$402</definedName>
    <definedName name="cst_wskakunin_sekkei7_JIMU__sikaku">DATA!$F$393</definedName>
    <definedName name="cst_wskakunin_sekkei7_JIMU_NAME">DATA!$F$397</definedName>
    <definedName name="cst_wskakunin_sekkei7_JIMU_NO">DATA!$F$396</definedName>
    <definedName name="cst_wskakunin_sekkei7_JIMU_SIKAKU">DATA!$F$394</definedName>
    <definedName name="cst_wskakunin_sekkei7_JIMU_TOUROKU_KIKAN">DATA!$F$395</definedName>
    <definedName name="cst_wskakunin_sekkei7_jimuname_name">DATA!$F$398</definedName>
    <definedName name="cst_wskakunin_sekkei7_KENTIKUSI_NO">DATA!$F$391</definedName>
    <definedName name="cst_wskakunin_sekkei7_NAME">DATA!$F$392</definedName>
    <definedName name="cst_wskakunin_sekkei7_SIKAKU">DATA!$F$389</definedName>
    <definedName name="cst_wskakunin_sekkei7_TEL">DATA!$F$401</definedName>
    <definedName name="cst_wskakunin_sekkei7_TOUROKU_KIKAN">DATA!$F$390</definedName>
    <definedName name="cst_wskakunin_sekkei7_ZIP">DATA!$F$399</definedName>
    <definedName name="cst_wskakunin_sekkei8__address">DATA!$F$417</definedName>
    <definedName name="cst_wskakunin_sekkei8__sikaku">DATA!$F$405</definedName>
    <definedName name="cst_wskakunin_sekkei8_DOC">DATA!$F$419</definedName>
    <definedName name="cst_wskakunin_sekkei8_JIMU__sikaku">DATA!$F$410</definedName>
    <definedName name="cst_wskakunin_sekkei8_JIMU_NAME">DATA!$F$414</definedName>
    <definedName name="cst_wskakunin_sekkei8_JIMU_NO">DATA!$F$413</definedName>
    <definedName name="cst_wskakunin_sekkei8_JIMU_SIKAKU">DATA!$F$411</definedName>
    <definedName name="cst_wskakunin_sekkei8_JIMU_TOUROKU_KIKAN">DATA!$F$412</definedName>
    <definedName name="cst_wskakunin_sekkei8_jimuname_name">DATA!$F$415</definedName>
    <definedName name="cst_wskakunin_sekkei8_KENTIKUSI_NO">DATA!$F$408</definedName>
    <definedName name="cst_wskakunin_sekkei8_NAME">DATA!$F$409</definedName>
    <definedName name="cst_wskakunin_sekkei8_SIKAKU">DATA!$F$406</definedName>
    <definedName name="cst_wskakunin_sekkei8_TEL">DATA!$F$418</definedName>
    <definedName name="cst_wskakunin_sekkei8_TOUROKU_KIKAN">DATA!$F$407</definedName>
    <definedName name="cst_wskakunin_sekkei8_ZIP">DATA!$F$416</definedName>
    <definedName name="cst_wskakunin_sekkei9__address">DATA!$F$434</definedName>
    <definedName name="cst_wskakunin_sekkei9__sikaku">DATA!$F$422</definedName>
    <definedName name="cst_wskakunin_sekkei9_DOC">DATA!$F$436</definedName>
    <definedName name="cst_wskakunin_sekkei9_JIMU__sikaku">DATA!$F$427</definedName>
    <definedName name="cst_wskakunin_sekkei9_JIMU_NAME">DATA!$F$431</definedName>
    <definedName name="cst_wskakunin_sekkei9_JIMU_NO">DATA!$F$430</definedName>
    <definedName name="cst_wskakunin_sekkei9_JIMU_SIKAKU">DATA!$F$428</definedName>
    <definedName name="cst_wskakunin_sekkei9_JIMU_TOUROKU_KIKAN">DATA!$F$429</definedName>
    <definedName name="cst_wskakunin_sekkei9_jimuname_name">DATA!$F$432</definedName>
    <definedName name="cst_wskakunin_sekkei9_KENTIKUSI_NO">DATA!$F$425</definedName>
    <definedName name="cst_wskakunin_sekkei9_NAME">DATA!$F$426</definedName>
    <definedName name="cst_wskakunin_sekkei9_SIKAKU">DATA!$F$423</definedName>
    <definedName name="cst_wskakunin_sekkei9_TEL">DATA!$F$435</definedName>
    <definedName name="cst_wskakunin_sekkei9_TOUROKU_KIKAN">DATA!$F$424</definedName>
    <definedName name="cst_wskakunin_sekkei9_ZIP">DATA!$F$433</definedName>
    <definedName name="cst_wskakunin_sekou1__address">DATA!$F$784</definedName>
    <definedName name="cst_wskakunin_sekou1__hajime">DATA!$F$839</definedName>
    <definedName name="cst_wskakunin_sekou1__kistar">DATA!$F$840</definedName>
    <definedName name="cst_wskakunin_sekou1_JIMU_NAME">DATA!$F$782</definedName>
    <definedName name="cst_wskakunin_sekou1_kakunin">DATA!$F$787</definedName>
    <definedName name="cst_wskakunin_sekou1_NAME">DATA!$F$778</definedName>
    <definedName name="cst_wskakunin_sekou1_SEKOU__sikaku">DATA!$F$779</definedName>
    <definedName name="cst_wskakunin_sekou1_SEKOU_NO">DATA!$F$781</definedName>
    <definedName name="cst_wskakunin_sekou1_SEKOU_SIKAKU">DATA!$F$780</definedName>
    <definedName name="cst_wskakunin_sekou1_TEL">DATA!$F$785</definedName>
    <definedName name="cst_wskakunin_sekou1_TEL_dsp">DATA!$F$786</definedName>
    <definedName name="cst_wskakunin_sekou1_ZIP">DATA!$F$783</definedName>
    <definedName name="cst_wskakunin_sekou2__address">DATA!$F$795</definedName>
    <definedName name="cst_wskakunin_sekou2_JIMU_NAME">DATA!$F$793</definedName>
    <definedName name="cst_wskakunin_sekou2_NAME">DATA!$F$789</definedName>
    <definedName name="cst_wskakunin_sekou2_SEKOU__sikaku">DATA!$F$790</definedName>
    <definedName name="cst_wskakunin_sekou2_SEKOU_NO">DATA!$F$792</definedName>
    <definedName name="cst_wskakunin_sekou2_SEKOU_SIKAKU">DATA!$F$791</definedName>
    <definedName name="cst_wskakunin_sekou2_TEL">DATA!$F$796</definedName>
    <definedName name="cst_wskakunin_sekou2_ZIP">DATA!$F$794</definedName>
    <definedName name="cst_wskakunin_sekou3__address">DATA!$F$805</definedName>
    <definedName name="cst_wskakunin_sekou3_JIMU_NAME">DATA!$F$803</definedName>
    <definedName name="cst_wskakunin_sekou3_NAME">DATA!$F$799</definedName>
    <definedName name="cst_wskakunin_sekou3_SEKOU__sikaku">DATA!$F$800</definedName>
    <definedName name="cst_wskakunin_sekou3_SEKOU_NO">DATA!$F$802</definedName>
    <definedName name="cst_wskakunin_sekou3_SEKOU_SIKAKU">DATA!$F$801</definedName>
    <definedName name="cst_wskakunin_sekou3_TEL">DATA!$F$806</definedName>
    <definedName name="cst_wskakunin_sekou3_ZIP">DATA!$F$804</definedName>
    <definedName name="cst_wskakunin_sekou4__address">DATA!$F$815</definedName>
    <definedName name="cst_wskakunin_sekou4_JIMU_NAME">DATA!$F$813</definedName>
    <definedName name="cst_wskakunin_sekou4_NAME">DATA!$F$809</definedName>
    <definedName name="cst_wskakunin_sekou4_SEKOU__sikaku">DATA!$F$810</definedName>
    <definedName name="cst_wskakunin_sekou4_SEKOU_NO">DATA!$F$812</definedName>
    <definedName name="cst_wskakunin_sekou4_SEKOU_SIKAKU">DATA!$F$811</definedName>
    <definedName name="cst_wskakunin_sekou4_TEL">DATA!$F$816</definedName>
    <definedName name="cst_wskakunin_sekou4_ZIP">DATA!$F$814</definedName>
    <definedName name="cst_wskakunin_sekou5__address">DATA!$F$825</definedName>
    <definedName name="cst_wskakunin_sekou5_JIMU_NAME">DATA!$F$823</definedName>
    <definedName name="cst_wskakunin_sekou5_NAME">DATA!$F$819</definedName>
    <definedName name="cst_wskakunin_sekou5_SEKOU__sikaku">DATA!$F$820</definedName>
    <definedName name="cst_wskakunin_sekou5_SEKOU_NO">DATA!$F$822</definedName>
    <definedName name="cst_wskakunin_sekou5_SEKOU_SIKAKU">DATA!$F$821</definedName>
    <definedName name="cst_wskakunin_sekou5_TEL">DATA!$F$826</definedName>
    <definedName name="cst_wskakunin_sekou5_ZIP">DATA!$F$824</definedName>
    <definedName name="cst_wskakunin_sekou6__address">DATA!$F$835</definedName>
    <definedName name="cst_wskakunin_sekou6_JIMU_NAME">DATA!$F$833</definedName>
    <definedName name="cst_wskakunin_sekou6_NAME">DATA!$F$829</definedName>
    <definedName name="cst_wskakunin_sekou6_SEKOU__sikaku">DATA!$F$830</definedName>
    <definedName name="cst_wskakunin_sekou6_SEKOU_NO">DATA!$F$832</definedName>
    <definedName name="cst_wskakunin_sekou6_SEKOU_SIKAKU">DATA!$F$831</definedName>
    <definedName name="cst_wskakunin_sekou6_TEL">DATA!$F$836</definedName>
    <definedName name="cst_wskakunin_sekou6_ZIP">DATA!$F$834</definedName>
    <definedName name="cst_wskakunin_SHIKITI_MENSEKI_1_TOTAL">DATA!$F$964</definedName>
    <definedName name="cst_wskakunin_SHIKITI_MENSEKI_1A">DATA!$F$940</definedName>
    <definedName name="cst_wskakunin_SHIKITI_MENSEKI_1B">DATA!$F$941</definedName>
    <definedName name="cst_wskakunin_SHIKITI_MENSEKI_1C">DATA!$F$942</definedName>
    <definedName name="cst_wskakunin_SHIKITI_MENSEKI_1D">DATA!$F$943</definedName>
    <definedName name="cst_wskakunin_SHIKITI_MENSEKI_2_TOTAL">DATA!$F$965</definedName>
    <definedName name="cst_wskakunin_SHIKITI_MENSEKI_2A">DATA!$F$944</definedName>
    <definedName name="cst_wskakunin_SHIKITI_MENSEKI_2B">DATA!$F$945</definedName>
    <definedName name="cst_wskakunin_SHIKITI_MENSEKI_2C">DATA!$F$946</definedName>
    <definedName name="cst_wskakunin_SHIKITI_MENSEKI_2D">DATA!$F$947</definedName>
    <definedName name="cst_wskakunin_SHIKITI_MENSEKI_BIKOU">DATA!$F$968</definedName>
    <definedName name="cst_wskakunin_SHINSEI_DATE">DATA!$F$58</definedName>
    <definedName name="cst_wskakunin_TAKASA_MAX_SHINSEI">DATA!$F$1095</definedName>
    <definedName name="cst_wskakunin_TAKASA_MAX_SONOTA">DATA!$F$1096</definedName>
    <definedName name="cst_wskakunin_tekihan01_TEKIHAN_KIKAN_ADDRESS">DATA!$F$854</definedName>
    <definedName name="cst_wskakunin_tekihan01_TEKIHAN_KIKAN_info">DATA!$F$855</definedName>
    <definedName name="cst_wskakunin_tekihan01_TEKIHAN_KIKAN_KEN__ken">DATA!$F$853</definedName>
    <definedName name="cst_wskakunin_tekihan01_TEKIHAN_KIKAN_NAME">DATA!$F$852</definedName>
    <definedName name="cst_wskakunin_tekihan01_TEKIHAN_STATE_mishinsei">DATA!$F$850</definedName>
    <definedName name="cst_wskakunin_tekihan01_TEKIHAN_STATE_shinsei">DATA!$F$849</definedName>
    <definedName name="cst_wskakunin_tekihan01_TEKIHAN_STATE_shinseifuyou">DATA!$F$851</definedName>
    <definedName name="cst_wskakunin_tekihan02_TEKIHAN_KIKAN_ADDRESS">DATA!$F$858</definedName>
    <definedName name="cst_wskakunin_tekihan02_TEKIHAN_KIKAN_info">DATA!$F$859</definedName>
    <definedName name="cst_wskakunin_tekihan02_TEKIHAN_KIKAN_KEN__ken">DATA!$F$857</definedName>
    <definedName name="cst_wskakunin_tekihan02_TEKIHAN_KIKAN_NAME">DATA!$F$856</definedName>
    <definedName name="cst_wskakunin_TOKUREI_TAKASA">DATA!$F$1110</definedName>
    <definedName name="cst_wskakunin_TOKUREI_TAKASA_box_off">DATA!$F$1112</definedName>
    <definedName name="cst_wskakunin_TOKUREI_TAKASA_box_on">DATA!$F$1111</definedName>
    <definedName name="cst_wskakunin_TOKUREI_TAKASA_DOURO">DATA!$F$1115</definedName>
    <definedName name="cst_wskakunin_TOKUREI_TAKASA_KITA">DATA!$F$1117</definedName>
    <definedName name="cst_wskakunin_TOKUREI_TAKASA_RINTI">DATA!$F$1116</definedName>
    <definedName name="cst_wskakunin_TOKUREI_txt">DATA!$F$1188</definedName>
    <definedName name="cst_wskakunin_TOKUTEI_KOUJI_KANRYOU_DATE_select">DATA!$F$1204</definedName>
    <definedName name="cst_wskakunin_TOKUTEI_KOUTEI">DATA!$F$1201</definedName>
    <definedName name="cst_wskakunin_TOKUTEI_KOUTEI_inter1">DATA!$F$1202</definedName>
    <definedName name="cst_wskakunin_TOKUTEI_KOUTEI_inter2">DATA!$F$1203</definedName>
    <definedName name="cst_wskakunin_wskakunin_SONOTA_KUIKI">DATA!$F$932</definedName>
    <definedName name="cst_wskakunin_YOUSEKI_RITU">DATA!$F$1087</definedName>
    <definedName name="cst_wskakunin_YOUSEKI_RITU_A">DATA!$F$954</definedName>
    <definedName name="cst_wskakunin_YOUSEKI_RITU_B">DATA!$F$955</definedName>
    <definedName name="cst_wskakunin_YOUSEKI_RITU_C">DATA!$F$956</definedName>
    <definedName name="cst_wskakunin_YOUSEKI_RITU_D">DATA!$F$957</definedName>
    <definedName name="cst_wskakunin_YOUTO">DATA!$F$971</definedName>
    <definedName name="cst_wskakunin_YOUTO_CODE">DATA!$F$970</definedName>
    <definedName name="cst_wskakunin_YOUTO_kodate_box">DATA!$F$973</definedName>
    <definedName name="cst_wskakunin_YOUTO_kyoudou_box">DATA!$F$974</definedName>
    <definedName name="cst_wskakunin_YOUTO_TIIKI_A">DATA!$F$949</definedName>
    <definedName name="cst_wskakunin_YOUTO_TIIKI_B">DATA!$F$950</definedName>
    <definedName name="cst_wskakunin_YOUTO_TIIKI_C">DATA!$F$951</definedName>
    <definedName name="cst_wskakunin_YOUTO_TIIKI_D">DATA!$F$952</definedName>
    <definedName name="_xlnm.Print_Area" localSheetId="21">確認取り下げ届_確認済証交付前!$A$1:$AF$41</definedName>
    <definedName name="_xlnm.Print_Area" localSheetId="15">監理者選任_大阪府下のみ!$A$1:$AD$78</definedName>
    <definedName name="_xlnm.Print_Area" localSheetId="16">軽微な変更!$A$1:$AG$52</definedName>
    <definedName name="_xlnm.Print_Area" localSheetId="18">建築主等変更!$A$1:$AF$67</definedName>
    <definedName name="_xlnm.Print_Area" localSheetId="17">誤記訂正届!$A$1:$AK$51</definedName>
    <definedName name="_xlnm.Print_Area" localSheetId="22">工事取りやめ届_確認済証交付後!$A$1:$AF$39</definedName>
    <definedName name="_xlnm.Print_Area" localSheetId="20">選定届!$A$1:$AF$41</definedName>
    <definedName name="_xlnm.Print_Area" localSheetId="19">別紙!$A$1:$AF$64</definedName>
    <definedName name="_xlnm.Print_Titles" localSheetId="14">追加様式!$1:$1</definedName>
    <definedName name="shinsei_ACCEPT_DATE">DATA!$D$38</definedName>
    <definedName name="shinsei_build_p6_01_PAGE6_KOUZOU_KEISAN_KIND__002">DATA!$D$55</definedName>
    <definedName name="shinsei_build_p6_01_PAGE6_KOUZOU_KEISAN_KIND__004">DATA!$D$54</definedName>
    <definedName name="shinsei_build_p6_01_PAGE6_KOUZOU_KEISAN_KIND__005">DATA!$D$53</definedName>
    <definedName name="shinsei_build_YOUTO">DATA!$D$1333</definedName>
    <definedName name="shinsei_HIKIUKE_DATE">DATA!$D$42</definedName>
    <definedName name="shinsei_ISSUE_DATE">DATA!$D$48</definedName>
    <definedName name="shinsei_ISSUE_KOUFU_NAME">DATA!$D$50</definedName>
    <definedName name="shinsei_ISSUE_NO">DATA!$D$44</definedName>
    <definedName name="shinsei_KAKU_SUMI_NO">DATA!$D$46</definedName>
    <definedName name="shinsei_PROVO_DATE">DATA!$D$34</definedName>
    <definedName name="shinsei_PROVO_NO">DATA!$D$35</definedName>
    <definedName name="shinsei_UKETUKE_NO">DATA!$D$40</definedName>
    <definedName name="shinsei_UNIT_COUNT">DATA!$D$972</definedName>
    <definedName name="showsheetflag_cst_DATA">dSHEET!$B$7</definedName>
    <definedName name="showsheetflag_DATA">dSHEET!$B$6</definedName>
    <definedName name="showsheetflag_dSHEET">dSHEET!$B$5</definedName>
    <definedName name="showsheetflag_dSTART">dSHEET!$B$4</definedName>
    <definedName name="showsheetflag_NoObject">dSHEET!$B$33</definedName>
    <definedName name="showsheetflag_リスト">dSHEET!$B$11</definedName>
    <definedName name="showsheetflag_委任状">dSHEET!$B$16</definedName>
    <definedName name="showsheetflag_確認取り下げ届_確認済証交付前">dSHEET!$B$27</definedName>
    <definedName name="showsheetflag_監理者選任_大阪府下のみ">dSHEET!$B$21</definedName>
    <definedName name="showsheetflag_軽微な変更">dSHEET!$B$22</definedName>
    <definedName name="showsheetflag_建築計画概要書_第三面">dSHEET!$B$15</definedName>
    <definedName name="showsheetflag_建築工事届">dSHEET!$B$14</definedName>
    <definedName name="showsheetflag_建築主等変更">dSHEET!$B$24</definedName>
    <definedName name="showsheetflag_誤記訂正届">dSHEET!$B$23</definedName>
    <definedName name="showsheetflag_工事取りやめ届_確認済証交付後">dSHEET!$B$28</definedName>
    <definedName name="showsheetflag_項目リスト">dSHEET!$B$8</definedName>
    <definedName name="showsheetflag_説明">dSHEET!$B$32</definedName>
    <definedName name="showsheetflag_選定届">dSHEET!$B$26</definedName>
    <definedName name="showsheetflag_追加説明書_確認申請">dSHEET!$B$17</definedName>
    <definedName name="showsheetflag_追加説明書_完了検査">dSHEET!$B$19</definedName>
    <definedName name="showsheetflag_追加説明書_中間検査">dSHEET!$B$18</definedName>
    <definedName name="showsheetflag_追加様式">dSHEET!$B$20</definedName>
    <definedName name="showsheetflag_非表示予定">dSHEET!$B$31</definedName>
    <definedName name="showsheetflag_別紙">dSHEET!$B$25</definedName>
    <definedName name="showsheetflag_用途の区分">dSHEET!$B$12</definedName>
    <definedName name="wsflat35_dairi1_POST">DATA!$D$197</definedName>
    <definedName name="wsjob_JOB_KIND">DATA!$D$19</definedName>
    <definedName name="wsjob_JOB_SET_KIND">DATA!$D$12</definedName>
    <definedName name="wsjob_TARGET_KIND">DATA!$D$13</definedName>
    <definedName name="wsjob_TARGET_KIND__label">DATA!$D$11</definedName>
    <definedName name="wskakunin__bouka">DATA!$D$926</definedName>
    <definedName name="wskakunin__kouji">DATA!$D$976</definedName>
    <definedName name="wskakunin__kuiki">DATA!$D$917</definedName>
    <definedName name="wskakunin__tosi_kuiki">DATA!$D$920</definedName>
    <definedName name="wskakunin_20kouzou101_KOUZOUSEKKEI_KOUFU_NO">DATA!$D$492</definedName>
    <definedName name="wskakunin_20kouzou101_NAME">DATA!$D$491</definedName>
    <definedName name="wskakunin_20kouzou102_KOUZOUSEKKEI_KOUFU_NO">DATA!$D$494</definedName>
    <definedName name="wskakunin_20kouzou102_NAME">DATA!$D$493</definedName>
    <definedName name="wskakunin_20kouzou103_KOUZOUSEKKEI_KOUFU_NO">DATA!$D$496</definedName>
    <definedName name="wskakunin_20kouzou103_NAME">DATA!$D$495</definedName>
    <definedName name="wskakunin_20kouzou104_KOUZOUSEKKEI_KOUFU_NO">DATA!$D$498</definedName>
    <definedName name="wskakunin_20kouzou104_NAME">DATA!$D$497</definedName>
    <definedName name="wskakunin_20kouzou105_KOUZOUSEKKEI_KOUFU_NO">DATA!$D$500</definedName>
    <definedName name="wskakunin_20kouzou105_NAME">DATA!$D$499</definedName>
    <definedName name="wskakunin_20kouzou301_KOUZOUSEKKEI_KOUFU_NO">DATA!$D$504</definedName>
    <definedName name="wskakunin_20kouzou301_NAME">DATA!$D$503</definedName>
    <definedName name="wskakunin_20kouzou302_KOUZOUSEKKEI_KOUFU_NO">DATA!$D$506</definedName>
    <definedName name="wskakunin_20kouzou302_NAME">DATA!$D$505</definedName>
    <definedName name="wskakunin_20kouzou303_KOUZOUSEKKEI_KOUFU_NO">DATA!$D$508</definedName>
    <definedName name="wskakunin_20kouzou303_NAME">DATA!$D$507</definedName>
    <definedName name="wskakunin_20kouzou304_KOUZOUSEKKEI_KOUFU_NO">DATA!$D$510</definedName>
    <definedName name="wskakunin_20kouzou304_NAME">DATA!$D$509</definedName>
    <definedName name="wskakunin_20kouzou305_KOUZOUSEKKEI_KOUFU_NO">DATA!$D$512</definedName>
    <definedName name="wskakunin_20kouzou305_NAME">DATA!$D$511</definedName>
    <definedName name="wskakunin_20setubi101_NAME">DATA!$D$515</definedName>
    <definedName name="wskakunin_20setubi101_SETUBISEKKEI_KOUFU_NO">DATA!$D$516</definedName>
    <definedName name="wskakunin_20setubi102_NAME">DATA!$D$517</definedName>
    <definedName name="wskakunin_20setubi102_SETUBISEKKEI_KOUFU_NO">DATA!$D$518</definedName>
    <definedName name="wskakunin_20setubi103_NAME">DATA!$D$519</definedName>
    <definedName name="wskakunin_20setubi103_SETUBISEKKEI_KOUFU_NO">DATA!$D$520</definedName>
    <definedName name="wskakunin_20setubi104_NAME">DATA!$D$521</definedName>
    <definedName name="wskakunin_20setubi104_SETUBISEKKEI_KOUFU_NO">DATA!$D$522</definedName>
    <definedName name="wskakunin_20setubi105_NAME">DATA!$D$523</definedName>
    <definedName name="wskakunin_20setubi105_SETUBISEKKEI_KOUFU_NO">DATA!$D$524</definedName>
    <definedName name="wskakunin_20setubi301_NAME">DATA!$D$527</definedName>
    <definedName name="wskakunin_20setubi301_SETUBISEKKEI_KOUFU_NO">DATA!$D$528</definedName>
    <definedName name="wskakunin_20setubi302_NAME">DATA!$D$529</definedName>
    <definedName name="wskakunin_20setubi302_SETUBISEKKEI_KOUFU_NO">DATA!$D$530</definedName>
    <definedName name="wskakunin_20setubi303_NAME">DATA!$D$531</definedName>
    <definedName name="wskakunin_20setubi303_SETUBISEKKEI_KOUFU_NO">DATA!$D$532</definedName>
    <definedName name="wskakunin_20setubi304_NAME">DATA!$D$533</definedName>
    <definedName name="wskakunin_20setubi304_SETUBISEKKEI_KOUFU_NO">DATA!$D$534</definedName>
    <definedName name="wskakunin_20setubi305_NAME">DATA!$D$535</definedName>
    <definedName name="wskakunin_20setubi305_SETUBISEKKEI_KOUFU_NO">DATA!$D$536</definedName>
    <definedName name="wskakunin_APPLICANT_NAME">DATA!$D$73</definedName>
    <definedName name="wskakunin_BOUKA_22JYO">DATA!$D$930</definedName>
    <definedName name="wskakunin_BOUKA_BOUKA">DATA!$D$927</definedName>
    <definedName name="wskakunin_BOUKA_JYUN_BOUKA">DATA!$D$928</definedName>
    <definedName name="wskakunin_BOUKA_NASI">DATA!$D$929</definedName>
    <definedName name="wskakunin_BOUKA_SETUBI_FLAG">DATA!$D$1175</definedName>
    <definedName name="wskakunin_BUILD__address">DATA!$D$906</definedName>
    <definedName name="wskakunin_BUILD_ADDRESS">DATA!$D$908</definedName>
    <definedName name="wskakunin_BUILD_JYUKYO__address">DATA!$D$911</definedName>
    <definedName name="wskakunin_BUILD_JYUKYO_ADDRESS">DATA!$D$913</definedName>
    <definedName name="wskakunin_BUILD_JYUKYO_KEN__ken">DATA!$D$912</definedName>
    <definedName name="wskakunin_BUILD_KEN__ken">DATA!$D$907</definedName>
    <definedName name="wskakunin_BUILD_NAME">DATA!$D$842</definedName>
    <definedName name="wskakunin_BUILD_NAME_KANA">DATA!$D$843</definedName>
    <definedName name="wskakunin_BUILD_SHINSEI_COUNT">DATA!$D$1090</definedName>
    <definedName name="wskakunin_BUILD_SONOTA_COUNT">DATA!$D$1091</definedName>
    <definedName name="wskakunin_dairi1__address">DATA!$D$206</definedName>
    <definedName name="wskakunin_dairi1__sikaku">DATA!$D$193</definedName>
    <definedName name="wskakunin_dairi1_FAX">DATA!$D$209</definedName>
    <definedName name="wskakunin_dairi1_JIMU__sikaku">DATA!$D$200</definedName>
    <definedName name="wskakunin_dairi1_JIMU_NAME">DATA!$D$204</definedName>
    <definedName name="wskakunin_dairi1_JIMU_NO">DATA!$D$203</definedName>
    <definedName name="wskakunin_dairi1_JIMU_SIKAKU__label">DATA!$D$201</definedName>
    <definedName name="wskakunin_dairi1_JIMU_TOUROKU_KIKAN__label">DATA!$D$202</definedName>
    <definedName name="wskakunin_dairi1_KENTIKUSI_NO">DATA!$D$196</definedName>
    <definedName name="wskakunin_dairi1_NAME">DATA!$D$198</definedName>
    <definedName name="wskakunin_dairi1_NAME_KANA">DATA!$D$199</definedName>
    <definedName name="wskakunin_dairi1_SIKAKU__label">DATA!$D$194</definedName>
    <definedName name="wskakunin_dairi1_TEL">DATA!$D$207</definedName>
    <definedName name="wskakunin_dairi1_TOUROKU_KIKAN__label">DATA!$D$195</definedName>
    <definedName name="wskakunin_dairi1_ZIP">DATA!$D$205</definedName>
    <definedName name="wskakunin_dairi2__address">DATA!$D$226</definedName>
    <definedName name="wskakunin_dairi2__sikaku">DATA!$D$214</definedName>
    <definedName name="wskakunin_dairi2_FAX">DATA!$D$228</definedName>
    <definedName name="wskakunin_dairi2_JIMU__sikaku">DATA!$D$220</definedName>
    <definedName name="wskakunin_dairi2_JIMU_NAME">DATA!$D$224</definedName>
    <definedName name="wskakunin_dairi2_JIMU_NO">DATA!$D$223</definedName>
    <definedName name="wskakunin_dairi2_JIMU_SIKAKU__label">DATA!$D$221</definedName>
    <definedName name="wskakunin_dairi2_JIMU_TOUROKU_KIKAN__label">DATA!$D$222</definedName>
    <definedName name="wskakunin_dairi2_KENTIKUSI_NO">DATA!$D$217</definedName>
    <definedName name="wskakunin_dairi2_NAME">DATA!$D$218</definedName>
    <definedName name="wskakunin_dairi2_NAME_KANA">DATA!$D$219</definedName>
    <definedName name="wskakunin_dairi2_SIKAKU__label">DATA!$D$215</definedName>
    <definedName name="wskakunin_dairi2_TEL">DATA!$D$227</definedName>
    <definedName name="wskakunin_dairi2_TOUROKU_KIKAN__label">DATA!$D$216</definedName>
    <definedName name="wskakunin_dairi2_ZIP">DATA!$D$225</definedName>
    <definedName name="wskakunin_dairi3__address">DATA!$D$244</definedName>
    <definedName name="wskakunin_dairi3__sikaku">DATA!$D$232</definedName>
    <definedName name="wskakunin_dairi3_FAX">DATA!$D$246</definedName>
    <definedName name="wskakunin_dairi3_JIMU__sikaku">DATA!$D$238</definedName>
    <definedName name="wskakunin_dairi3_JIMU_NAME">DATA!$D$242</definedName>
    <definedName name="wskakunin_dairi3_JIMU_NO">DATA!$D$241</definedName>
    <definedName name="wskakunin_dairi3_JIMU_SIKAKU__label">DATA!$D$239</definedName>
    <definedName name="wskakunin_dairi3_JIMU_TOUROKU_KIKAN__label">DATA!$D$240</definedName>
    <definedName name="wskakunin_dairi3_KENTIKUSI_NO">DATA!$D$235</definedName>
    <definedName name="wskakunin_dairi3_NAME">DATA!$D$236</definedName>
    <definedName name="wskakunin_dairi3_NAME_KANA">DATA!$D$237</definedName>
    <definedName name="wskakunin_dairi3_SIKAKU__label">DATA!$D$233</definedName>
    <definedName name="wskakunin_dairi3_TEL">DATA!$D$245</definedName>
    <definedName name="wskakunin_dairi3_TOUROKU_KIKAN__label">DATA!$D$234</definedName>
    <definedName name="wskakunin_dairi3_ZIP">DATA!$D$243</definedName>
    <definedName name="wskakunin_dairi4__address">DATA!$D$262</definedName>
    <definedName name="wskakunin_dairi4__sikaku">DATA!$D$250</definedName>
    <definedName name="wskakunin_dairi4_FAX">DATA!$D$264</definedName>
    <definedName name="wskakunin_dairi4_JIMU__sikaku">DATA!$D$256</definedName>
    <definedName name="wskakunin_dairi4_JIMU_NAME">DATA!$D$260</definedName>
    <definedName name="wskakunin_dairi4_JIMU_NO">DATA!$D$259</definedName>
    <definedName name="wskakunin_dairi4_JIMU_SIKAKU__label">DATA!$D$257</definedName>
    <definedName name="wskakunin_dairi4_JIMU_TOUROKU_KIKAN__label">DATA!$D$258</definedName>
    <definedName name="wskakunin_dairi4_KENTIKUSI_NO">DATA!$D$253</definedName>
    <definedName name="wskakunin_dairi4_NAME">DATA!$D$254</definedName>
    <definedName name="wskakunin_dairi4_NAME_KANA">DATA!$D$255</definedName>
    <definedName name="wskakunin_dairi4_SIKAKU__label">DATA!$D$251</definedName>
    <definedName name="wskakunin_dairi4_TEL">DATA!$D$263</definedName>
    <definedName name="wskakunin_dairi4_TOUROKU_KIKAN__label">DATA!$D$252</definedName>
    <definedName name="wskakunin_dairi4_ZIP">DATA!$D$261</definedName>
    <definedName name="wskakunin_dairi5__address">DATA!$D$280</definedName>
    <definedName name="wskakunin_dairi5__sikaku">DATA!$D$268</definedName>
    <definedName name="wskakunin_dairi5_FAX">DATA!$D$282</definedName>
    <definedName name="wskakunin_dairi5_JIMU__sikaku">DATA!$D$274</definedName>
    <definedName name="wskakunin_dairi5_JIMU_NAME">DATA!$D$278</definedName>
    <definedName name="wskakunin_dairi5_JIMU_NO">DATA!$D$277</definedName>
    <definedName name="wskakunin_dairi5_JIMU_SIKAKU__label">DATA!$D$275</definedName>
    <definedName name="wskakunin_dairi5_JIMU_TOUROKU_KIKAN__label">DATA!$D$276</definedName>
    <definedName name="wskakunin_dairi5_KENTIKUSI_NO">DATA!$D$271</definedName>
    <definedName name="wskakunin_dairi5_NAME">DATA!$D$272</definedName>
    <definedName name="wskakunin_dairi5_NAME_KANA">DATA!$D$273</definedName>
    <definedName name="wskakunin_dairi5_SIKAKU__label">DATA!$D$269</definedName>
    <definedName name="wskakunin_dairi5_TEL">DATA!$D$281</definedName>
    <definedName name="wskakunin_dairi5_TOUROKU_KIKAN__label">DATA!$D$270</definedName>
    <definedName name="wskakunin_dairi5_ZIP">DATA!$D$279</definedName>
    <definedName name="wskakunin_DOURO_FUKUIN">DATA!$D$935</definedName>
    <definedName name="wskakunin_DOURO_NAGASA">DATA!$D$936</definedName>
    <definedName name="wskakunin_ecotekihan01_FUYOU_CAUSE">DATA!$D$872</definedName>
    <definedName name="wskakunin_ecotekihan01_TEKIHAN_KIKAN_ADDRESS">DATA!$D$868</definedName>
    <definedName name="wskakunin_ecotekihan01_TEKIHAN_KIKAN_KEN__ken">DATA!$D$867</definedName>
    <definedName name="wskakunin_ecotekihan01_TEKIHAN_KIKAN_NAME">DATA!$D$866</definedName>
    <definedName name="wskakunin_ecotekihan01_TEKIHAN_STATE">DATA!$D$862</definedName>
    <definedName name="wskakunin_gaiyou1_EV_KIND">DATA!$D$1007</definedName>
    <definedName name="wskakunin_gaiyou1_KOUJI_KAITIKU">DATA!$D$994</definedName>
    <definedName name="wskakunin_gaiyou1_KOUJI_SINTIKU">DATA!$D$992</definedName>
    <definedName name="wskakunin_gaiyou1_KOUJI_SONOTA">DATA!$D$995</definedName>
    <definedName name="wskakunin_gaiyou1_KOUJI_SONOTA_TEXT">DATA!$D$996</definedName>
    <definedName name="wskakunin_gaiyou1_KOUJI_ZOUTIKU">DATA!$D$993</definedName>
    <definedName name="wskakunin_gaiyou1_KOUZOU">DATA!$D$991</definedName>
    <definedName name="wskakunin_gaiyou1_NINSYOU_NO">DATA!$D$1013</definedName>
    <definedName name="wskakunin_gaiyou1_NO">DATA!$D$1006</definedName>
    <definedName name="wskakunin_gaiyou1_SEKISAI">DATA!$D$1009</definedName>
    <definedName name="wskakunin_gaiyou1_SONOTA">DATA!$D$1012</definedName>
    <definedName name="wskakunin_gaiyou1_SONOTA_and_NINSYOU_NO">DATA!$D$1014</definedName>
    <definedName name="wskakunin_gaiyou1_SPEED">DATA!$D$1011</definedName>
    <definedName name="wskakunin_gaiyou1_TAKASA">DATA!$D$990</definedName>
    <definedName name="wskakunin_gaiyou1_TEIIN">DATA!$D$1010</definedName>
    <definedName name="wskakunin_gaiyou1_TIKUZOU_MENSEKI_IGAI">DATA!$D$999</definedName>
    <definedName name="wskakunin_gaiyou1_TIKUZOU_MENSEKI_SHINSEI">DATA!$D$998</definedName>
    <definedName name="wskakunin_gaiyou1_TIKUZOU_MENSEKI_TOTAL">DATA!$D$1000</definedName>
    <definedName name="wskakunin_gaiyou1_WORK_COUNT_IGAI">DATA!$D$1002</definedName>
    <definedName name="wskakunin_gaiyou1_WORK_COUNT_SHINSEI">DATA!$D$1001</definedName>
    <definedName name="wskakunin_gaiyou1_WORK_COUNT_TOTAL">DATA!$D$1003</definedName>
    <definedName name="wskakunin_gaiyou1_WORK_SYURUI">DATA!$D$989</definedName>
    <definedName name="wskakunin_gaiyou1_WORK_SYURUI_CODE">DATA!$D$988</definedName>
    <definedName name="wskakunin_gaiyou1_YOUTO">DATA!$D$1008</definedName>
    <definedName name="wskakunin_iken1__address">DATA!$D$543</definedName>
    <definedName name="wskakunin_iken1_DOC">DATA!$D$546</definedName>
    <definedName name="wskakunin_iken1_IKEN_NO">DATA!$D$545</definedName>
    <definedName name="wskakunin_iken1_JIMU_NAME">DATA!$D$541</definedName>
    <definedName name="wskakunin_iken1_NAME">DATA!$D$540</definedName>
    <definedName name="wskakunin_iken1_TEL">DATA!$D$544</definedName>
    <definedName name="wskakunin_iken1_ZIP">DATA!$D$542</definedName>
    <definedName name="wskakunin_iken2__address">DATA!$D$552</definedName>
    <definedName name="wskakunin_iken2_DOC">DATA!$D$555</definedName>
    <definedName name="wskakunin_iken2_IKEN_NO">DATA!$D$554</definedName>
    <definedName name="wskakunin_iken2_JIMU_NAME">DATA!$D$550</definedName>
    <definedName name="wskakunin_iken2_NAME">DATA!$D$549</definedName>
    <definedName name="wskakunin_iken2_TEL">DATA!$D$553</definedName>
    <definedName name="wskakunin_iken2_ZIP">DATA!$D$551</definedName>
    <definedName name="wskakunin_iken3__address">DATA!$D$561</definedName>
    <definedName name="wskakunin_iken3_DOC">DATA!$D$564</definedName>
    <definedName name="wskakunin_iken3_IKEN_NO">DATA!$D$563</definedName>
    <definedName name="wskakunin_iken3_JIMU_NAME">DATA!$D$559</definedName>
    <definedName name="wskakunin_iken3_NAME">DATA!$D$558</definedName>
    <definedName name="wskakunin_iken3_TEL">DATA!$D$562</definedName>
    <definedName name="wskakunin_iken3_ZIP">DATA!$D$560</definedName>
    <definedName name="wskakunin_iken4__address">DATA!$D$570</definedName>
    <definedName name="wskakunin_iken4_DOC">DATA!$D$573</definedName>
    <definedName name="wskakunin_iken4_IKEN_NO">DATA!$D$572</definedName>
    <definedName name="wskakunin_iken4_JIMU_NAME">DATA!$D$568</definedName>
    <definedName name="wskakunin_iken4_NAME">DATA!$D$567</definedName>
    <definedName name="wskakunin_iken4_TEL">DATA!$D$571</definedName>
    <definedName name="wskakunin_iken4_ZIP">DATA!$D$569</definedName>
    <definedName name="wskakunin_iken5__address">DATA!$D$578</definedName>
    <definedName name="wskakunin_iken5_DOC">DATA!$D$581</definedName>
    <definedName name="wskakunin_iken5_IKEN_NO">DATA!$D$580</definedName>
    <definedName name="wskakunin_iken5_JIMU_NAME">DATA!$D$576</definedName>
    <definedName name="wskakunin_iken5_NAME">DATA!$D$575</definedName>
    <definedName name="wskakunin_iken5_TEL">DATA!$D$579</definedName>
    <definedName name="wskakunin_iken5_ZIP">DATA!$D$577</definedName>
    <definedName name="wskakunin_KAISU_TIJYOU_SHINSEI">DATA!$D$1098</definedName>
    <definedName name="wskakunin_KAISU_TIJYOU_SONOTA">DATA!$D$1099</definedName>
    <definedName name="wskakunin_KAISU_TIKA_SHINSEI__zero">DATA!$D$1101</definedName>
    <definedName name="wskakunin_KAISU_TIKA_SONOTA">DATA!$D$1102</definedName>
    <definedName name="wskakunin_kanri1__address">DATA!$D$596</definedName>
    <definedName name="wskakunin_kanri1__sikaku">DATA!$D$584</definedName>
    <definedName name="wskakunin_kanri1_DOC">DATA!$D$599</definedName>
    <definedName name="wskakunin_kanri1_JIMU__sikaku">DATA!$D$589</definedName>
    <definedName name="wskakunin_kanri1_JIMU_NAME">DATA!$D$593</definedName>
    <definedName name="wskakunin_kanri1_JIMU_NO">DATA!$D$592</definedName>
    <definedName name="wskakunin_kanri1_JIMU_SIKAKU__label">DATA!$D$590</definedName>
    <definedName name="wskakunin_kanri1_JIMU_TOUROKU_KIKAN__label">DATA!$D$591</definedName>
    <definedName name="wskakunin_kanri1_KENTIKUSI_NO">DATA!$D$587</definedName>
    <definedName name="wskakunin_kanri1_NAME">DATA!$D$588</definedName>
    <definedName name="wskakunin_kanri1_SIKAKU__label">DATA!$D$585</definedName>
    <definedName name="wskakunin_kanri1_TEL">DATA!$D$597</definedName>
    <definedName name="wskakunin_kanri1_TOUROKU_KIKAN__label">DATA!$D$586</definedName>
    <definedName name="wskakunin_kanri1_ZIP">DATA!$D$594</definedName>
    <definedName name="wskakunin_kanri10__address">DATA!$D$741</definedName>
    <definedName name="wskakunin_kanri10__sikaku">DATA!$D$730</definedName>
    <definedName name="wskakunin_kanri10_DOC">DATA!$D$743</definedName>
    <definedName name="wskakunin_kanri10_JIMU__sikaku">DATA!$D$735</definedName>
    <definedName name="wskakunin_kanri10_JIMU_NAME">DATA!$D$739</definedName>
    <definedName name="wskakunin_kanri10_JIMU_NO">DATA!$D$738</definedName>
    <definedName name="wskakunin_kanri10_JIMU_SIKAKU__label">DATA!$D$736</definedName>
    <definedName name="wskakunin_kanri10_JIMU_TOUROKU_KIKAN__label">DATA!$D$737</definedName>
    <definedName name="wskakunin_kanri10_KENTIKUSI_NO">DATA!$D$733</definedName>
    <definedName name="wskakunin_kanri10_NAME">DATA!$D$734</definedName>
    <definedName name="wskakunin_kanri10_SIKAKU__label">DATA!$D$731</definedName>
    <definedName name="wskakunin_kanri10_TEL">DATA!$D$742</definedName>
    <definedName name="wskakunin_kanri10_TOUROKU_KIKAN__label">DATA!$D$732</definedName>
    <definedName name="wskakunin_kanri10_ZIP">DATA!$D$740</definedName>
    <definedName name="wskakunin_kanri11__address">DATA!$D$757</definedName>
    <definedName name="wskakunin_kanri11__sikaku">DATA!$D$746</definedName>
    <definedName name="wskakunin_kanri11_DOC">DATA!$D$759</definedName>
    <definedName name="wskakunin_kanri11_JIMU__sikaku">DATA!$D$751</definedName>
    <definedName name="wskakunin_kanri11_JIMU_NAME">DATA!$D$755</definedName>
    <definedName name="wskakunin_kanri11_JIMU_NO">DATA!$D$754</definedName>
    <definedName name="wskakunin_kanri11_JIMU_SIKAKU__label">DATA!$D$752</definedName>
    <definedName name="wskakunin_kanri11_JIMU_TOUROKU_KIKAN__label">DATA!$D$753</definedName>
    <definedName name="wskakunin_kanri11_KENTIKUSI_NO">DATA!$D$749</definedName>
    <definedName name="wskakunin_kanri11_NAME">DATA!$D$750</definedName>
    <definedName name="wskakunin_kanri11_SIKAKU__label">DATA!$D$747</definedName>
    <definedName name="wskakunin_kanri11_TEL">DATA!$D$758</definedName>
    <definedName name="wskakunin_kanri11_TOUROKU_KIKAN__label">DATA!$D$748</definedName>
    <definedName name="wskakunin_kanri11_ZIP">DATA!$D$756</definedName>
    <definedName name="wskakunin_kanri12__address">DATA!$D$773</definedName>
    <definedName name="wskakunin_kanri12__sikaku">DATA!$D$762</definedName>
    <definedName name="wskakunin_kanri12_DOC">DATA!$D$775</definedName>
    <definedName name="wskakunin_kanri12_JIMU__sikaku">DATA!$D$767</definedName>
    <definedName name="wskakunin_kanri12_JIMU_NAME">DATA!$D$771</definedName>
    <definedName name="wskakunin_kanri12_JIMU_NO">DATA!$D$770</definedName>
    <definedName name="wskakunin_kanri12_JIMU_SIKAKU__label">DATA!$D$768</definedName>
    <definedName name="wskakunin_kanri12_JIMU_TOUROKU_KIKAN__label">DATA!$D$769</definedName>
    <definedName name="wskakunin_kanri12_KENTIKUSI_NO">DATA!$D$765</definedName>
    <definedName name="wskakunin_kanri12_NAME">DATA!$D$766</definedName>
    <definedName name="wskakunin_kanri12_SIKAKU__label">DATA!$D$763</definedName>
    <definedName name="wskakunin_kanri12_TEL">DATA!$D$774</definedName>
    <definedName name="wskakunin_kanri12_TOUROKU_KIKAN__label">DATA!$D$764</definedName>
    <definedName name="wskakunin_kanri12_ZIP">DATA!$D$772</definedName>
    <definedName name="wskakunin_kanri2__address">DATA!$D$613</definedName>
    <definedName name="wskakunin_kanri2__sikaku">DATA!$D$602</definedName>
    <definedName name="wskakunin_kanri2_DOC">DATA!$D$615</definedName>
    <definedName name="wskakunin_kanri2_JIMU__sikaku">DATA!$D$607</definedName>
    <definedName name="wskakunin_kanri2_JIMU_NAME">DATA!$D$611</definedName>
    <definedName name="wskakunin_kanri2_JIMU_NO">DATA!$D$610</definedName>
    <definedName name="wskakunin_kanri2_JIMU_SIKAKU__label">DATA!$D$608</definedName>
    <definedName name="wskakunin_kanri2_JIMU_TOUROKU_KIKAN__label">DATA!$D$609</definedName>
    <definedName name="wskakunin_kanri2_KENTIKUSI_NO">DATA!$D$605</definedName>
    <definedName name="wskakunin_kanri2_NAME">DATA!$D$606</definedName>
    <definedName name="wskakunin_kanri2_SIKAKU__label">DATA!$D$603</definedName>
    <definedName name="wskakunin_kanri2_TEL">DATA!$D$614</definedName>
    <definedName name="wskakunin_kanri2_TOUROKU_KIKAN__label">DATA!$D$604</definedName>
    <definedName name="wskakunin_kanri2_ZIP">DATA!$D$612</definedName>
    <definedName name="wskakunin_kanri3__address">DATA!$D$629</definedName>
    <definedName name="wskakunin_kanri3__sikaku">DATA!$D$618</definedName>
    <definedName name="wskakunin_kanri3_DOC">DATA!$D$631</definedName>
    <definedName name="wskakunin_kanri3_JIMU__sikaku">DATA!$D$623</definedName>
    <definedName name="wskakunin_kanri3_JIMU_NAME">DATA!$D$627</definedName>
    <definedName name="wskakunin_kanri3_JIMU_NO">DATA!$D$626</definedName>
    <definedName name="wskakunin_kanri3_JIMU_SIKAKU__label">DATA!$D$624</definedName>
    <definedName name="wskakunin_kanri3_JIMU_TOUROKU_KIKAN__label">DATA!$D$625</definedName>
    <definedName name="wskakunin_kanri3_KENTIKUSI_NO">DATA!$D$621</definedName>
    <definedName name="wskakunin_kanri3_NAME">DATA!$D$622</definedName>
    <definedName name="wskakunin_kanri3_SIKAKU__label">DATA!$D$619</definedName>
    <definedName name="wskakunin_kanri3_TEL">DATA!$D$630</definedName>
    <definedName name="wskakunin_kanri3_TOUROKU_KIKAN__label">DATA!$D$620</definedName>
    <definedName name="wskakunin_kanri3_ZIP">DATA!$D$628</definedName>
    <definedName name="wskakunin_kanri4__address">DATA!$D$645</definedName>
    <definedName name="wskakunin_kanri4__sikaku">DATA!$D$634</definedName>
    <definedName name="wskakunin_kanri4_DOC">DATA!$D$647</definedName>
    <definedName name="wskakunin_kanri4_JIMU__sikaku">DATA!$D$639</definedName>
    <definedName name="wskakunin_kanri4_JIMU_NAME">DATA!$D$643</definedName>
    <definedName name="wskakunin_kanri4_JIMU_NO">DATA!$D$642</definedName>
    <definedName name="wskakunin_kanri4_JIMU_SIKAKU__label">DATA!$D$640</definedName>
    <definedName name="wskakunin_kanri4_JIMU_TOUROKU_KIKAN__label">DATA!$D$641</definedName>
    <definedName name="wskakunin_kanri4_KENTIKUSI_NO">DATA!$D$637</definedName>
    <definedName name="wskakunin_kanri4_NAME">DATA!$D$638</definedName>
    <definedName name="wskakunin_kanri4_SIKAKU__label">DATA!$D$635</definedName>
    <definedName name="wskakunin_kanri4_TEL">DATA!$D$646</definedName>
    <definedName name="wskakunin_kanri4_TOUROKU_KIKAN__label">DATA!$D$636</definedName>
    <definedName name="wskakunin_kanri4_ZIP">DATA!$D$644</definedName>
    <definedName name="wskakunin_kanri5__address">DATA!$D$661</definedName>
    <definedName name="wskakunin_kanri5__sikaku">DATA!$D$650</definedName>
    <definedName name="wskakunin_kanri5_DOC">DATA!$D$663</definedName>
    <definedName name="wskakunin_kanri5_JIMU__sikaku">DATA!$D$655</definedName>
    <definedName name="wskakunin_kanri5_JIMU_NAME">DATA!$D$659</definedName>
    <definedName name="wskakunin_kanri5_JIMU_NO">DATA!$D$658</definedName>
    <definedName name="wskakunin_kanri5_JIMU_SIKAKU__label">DATA!$D$656</definedName>
    <definedName name="wskakunin_kanri5_JIMU_TOUROKU_KIKAN__label">DATA!$D$657</definedName>
    <definedName name="wskakunin_kanri5_KENTIKUSI_NO">DATA!$D$653</definedName>
    <definedName name="wskakunin_kanri5_NAME">DATA!$D$654</definedName>
    <definedName name="wskakunin_kanri5_SIKAKU__label">DATA!$D$651</definedName>
    <definedName name="wskakunin_kanri5_TEL">DATA!$D$662</definedName>
    <definedName name="wskakunin_kanri5_TOUROKU_KIKAN__label">DATA!$D$652</definedName>
    <definedName name="wskakunin_kanri5_ZIP">DATA!$D$660</definedName>
    <definedName name="wskakunin_kanri6__address">DATA!$D$677</definedName>
    <definedName name="wskakunin_kanri6__sikaku">DATA!$D$666</definedName>
    <definedName name="wskakunin_kanri6_DOC">DATA!$D$679</definedName>
    <definedName name="wskakunin_kanri6_JIMU__sikaku">DATA!$D$671</definedName>
    <definedName name="wskakunin_kanri6_JIMU_NAME">DATA!$D$675</definedName>
    <definedName name="wskakunin_kanri6_JIMU_NO">DATA!$D$674</definedName>
    <definedName name="wskakunin_kanri6_JIMU_SIKAKU__label">DATA!$D$672</definedName>
    <definedName name="wskakunin_kanri6_JIMU_TOUROKU_KIKAN__label">DATA!$D$673</definedName>
    <definedName name="wskakunin_kanri6_KENTIKUSI_NO">DATA!$D$669</definedName>
    <definedName name="wskakunin_kanri6_NAME">DATA!$D$670</definedName>
    <definedName name="wskakunin_kanri6_SIKAKU__label">DATA!$D$667</definedName>
    <definedName name="wskakunin_kanri6_TEL">DATA!$D$678</definedName>
    <definedName name="wskakunin_kanri6_TOUROKU_KIKAN__label">DATA!$D$668</definedName>
    <definedName name="wskakunin_kanri6_ZIP">DATA!$D$676</definedName>
    <definedName name="wskakunin_kanri7__address">DATA!$D$693</definedName>
    <definedName name="wskakunin_kanri7__sikaku">DATA!$D$682</definedName>
    <definedName name="wskakunin_kanri7_DOC">DATA!$D$695</definedName>
    <definedName name="wskakunin_kanri7_JIMU__sikaku">DATA!$D$687</definedName>
    <definedName name="wskakunin_kanri7_JIMU_NAME">DATA!$D$691</definedName>
    <definedName name="wskakunin_kanri7_JIMU_NO">DATA!$D$690</definedName>
    <definedName name="wskakunin_kanri7_JIMU_SIKAKU__label">DATA!$D$688</definedName>
    <definedName name="wskakunin_kanri7_JIMU_TOUROKU_KIKAN__label">DATA!$D$689</definedName>
    <definedName name="wskakunin_kanri7_KENTIKUSI_NO">DATA!$D$685</definedName>
    <definedName name="wskakunin_kanri7_NAME">DATA!$D$686</definedName>
    <definedName name="wskakunin_kanri7_SIKAKU__label">DATA!$D$683</definedName>
    <definedName name="wskakunin_kanri7_TEL">DATA!$D$694</definedName>
    <definedName name="wskakunin_kanri7_TOUROKU_KIKAN__label">DATA!$D$684</definedName>
    <definedName name="wskakunin_kanri7_ZIP">DATA!$D$692</definedName>
    <definedName name="wskakunin_kanri8__address">DATA!$D$709</definedName>
    <definedName name="wskakunin_kanri8__sikaku">DATA!$D$698</definedName>
    <definedName name="wskakunin_kanri8_DOC">DATA!$D$711</definedName>
    <definedName name="wskakunin_kanri8_JIMU__sikaku">DATA!$D$703</definedName>
    <definedName name="wskakunin_kanri8_JIMU_NAME">DATA!$D$707</definedName>
    <definedName name="wskakunin_kanri8_JIMU_NO">DATA!$D$706</definedName>
    <definedName name="wskakunin_kanri8_JIMU_SIKAKU__label">DATA!$D$704</definedName>
    <definedName name="wskakunin_kanri8_JIMU_TOUROKU_KIKAN__label">DATA!$D$705</definedName>
    <definedName name="wskakunin_kanri8_KENTIKUSI_NO">DATA!$D$701</definedName>
    <definedName name="wskakunin_kanri8_NAME">DATA!$D$702</definedName>
    <definedName name="wskakunin_kanri8_SIKAKU__label">DATA!$D$699</definedName>
    <definedName name="wskakunin_kanri8_TEL">DATA!$D$710</definedName>
    <definedName name="wskakunin_kanri8_TOUROKU_KIKAN__label">DATA!$D$700</definedName>
    <definedName name="wskakunin_kanri8_ZIP">DATA!$D$708</definedName>
    <definedName name="wskakunin_kanri9__address">DATA!$D$725</definedName>
    <definedName name="wskakunin_kanri9__sikaku">DATA!$D$714</definedName>
    <definedName name="wskakunin_kanri9_DOC">DATA!$D$727</definedName>
    <definedName name="wskakunin_kanri9_JIMU__sikaku">DATA!$D$719</definedName>
    <definedName name="wskakunin_kanri9_JIMU_NAME">DATA!$D$723</definedName>
    <definedName name="wskakunin_kanri9_JIMU_NO">DATA!$D$722</definedName>
    <definedName name="wskakunin_kanri9_JIMU_SIKAKU__label">DATA!$D$720</definedName>
    <definedName name="wskakunin_kanri9_JIMU_TOUROKU_KIKAN__label">DATA!$D$721</definedName>
    <definedName name="wskakunin_kanri9_KENTIKUSI_NO">DATA!$D$717</definedName>
    <definedName name="wskakunin_kanri9_NAME">DATA!$D$718</definedName>
    <definedName name="wskakunin_kanri9_SIKAKU__label">DATA!$D$715</definedName>
    <definedName name="wskakunin_kanri9_TEL">DATA!$D$726</definedName>
    <definedName name="wskakunin_kanri9_TOUROKU_KIKAN__label">DATA!$D$716</definedName>
    <definedName name="wskakunin_kanri9_ZIP">DATA!$D$724</definedName>
    <definedName name="wskakunin_keibi_henkou01_HENKOU_GAIYOU">DATA!$D$1298</definedName>
    <definedName name="wskakunin_keibi_henkou01_HENKOU_SYURUI">DATA!$D$1297</definedName>
    <definedName name="wskakunin_KENPEI_RITU">DATA!$D$1020</definedName>
    <definedName name="wskakunin_KENPEI_RITU_A">DATA!$D$959</definedName>
    <definedName name="wskakunin_KENPEI_RITU_B">DATA!$D$960</definedName>
    <definedName name="wskakunin_KENPEI_RITU_C">DATA!$D$961</definedName>
    <definedName name="wskakunin_KENPEI_RITU_D">DATA!$D$962</definedName>
    <definedName name="wskakunin_KENSA_YUKA_MENSEKI">DATA!$D$1206</definedName>
    <definedName name="wskakunin_KENTIKU_MENSEKI_IGAI">DATA!$D$1018</definedName>
    <definedName name="wskakunin_KENTIKU_MENSEKI_SHINSEI">DATA!$D$1017</definedName>
    <definedName name="wskakunin_KENTIKU_MENSEKI_TOTAL">DATA!$D$1019</definedName>
    <definedName name="wskakunin_KENTIKU_NINSYO_NO">DATA!$D$1194</definedName>
    <definedName name="wskakunin_KIKAN_NAME">DATA!$D$56</definedName>
    <definedName name="wskakunin_KOUJI_DAI_MOYOUGAE">DATA!$D$983</definedName>
    <definedName name="wskakunin_KOUJI_DAI_SYUUZEN">DATA!$D$982</definedName>
    <definedName name="wskakunin_KOUJI_ITEN">DATA!$D$980</definedName>
    <definedName name="wskakunin_KOUJI_KAITIKU">DATA!$D$979</definedName>
    <definedName name="wskakunin_KOUJI_KANRYOU_DATE">DATA!$D$1301</definedName>
    <definedName name="wskakunin_KOUJI_KANRYOU_YOTEI_DATE">DATA!$D$1148</definedName>
    <definedName name="wskakunin_KOUJI_SINTIKU">DATA!$D$977</definedName>
    <definedName name="wskakunin_KOUJI_TYAKUSYU_DATE">DATA!$D$1196</definedName>
    <definedName name="wskakunin_KOUJI_TYAKUSYU_YOTEI_DATE">DATA!$D$1146</definedName>
    <definedName name="wskakunin_KOUJI_YOUTOHENKOU">DATA!$D$981</definedName>
    <definedName name="wskakunin_KOUJI_ZOUTIKU">DATA!$D$978</definedName>
    <definedName name="wskakunin_koutei_ikou01_KOUTEI_DATE">DATA!$D$1269</definedName>
    <definedName name="wskakunin_koutei_ikou01_KOUTEI_KAISUU">DATA!$D$1267</definedName>
    <definedName name="wskakunin_koutei_ikou01_KOUTEI_TEXT">DATA!$D$1268</definedName>
    <definedName name="wskakunin_koutei_ikou02_KOUTEI_DATE">DATA!$D$1274</definedName>
    <definedName name="wskakunin_koutei_ikou02_KOUTEI_KAISUU">DATA!$D$1272</definedName>
    <definedName name="wskakunin_koutei_ikou02_KOUTEI_TEXT">DATA!$D$1273</definedName>
    <definedName name="wskakunin_koutei_izen01_INTER_ISSUE_DATE">DATA!$D$1214</definedName>
    <definedName name="wskakunin_koutei_izen01_INTER_ISSUE_NAME">DATA!$D$1212</definedName>
    <definedName name="wskakunin_koutei_izen01_INTER_ISSUE_NO">DATA!$D$1213</definedName>
    <definedName name="wskakunin_koutei_izen01_KOUTEI_KAISUU">DATA!$D$1210</definedName>
    <definedName name="wskakunin_koutei_izen01_KOUTEI_TEXT">DATA!$D$1211</definedName>
    <definedName name="wskakunin_koutei_izen02_INTER_ISSUE_DATE">DATA!$D$1221</definedName>
    <definedName name="wskakunin_koutei_izen02_INTER_ISSUE_NAME">DATA!$D$1219</definedName>
    <definedName name="wskakunin_koutei_izen02_INTER_ISSUE_NO">DATA!$D$1220</definedName>
    <definedName name="wskakunin_koutei_izen02_KOUTEI_KAISUU">DATA!$D$1217</definedName>
    <definedName name="wskakunin_koutei_izen02_KOUTEI_TEXT">DATA!$D$1218</definedName>
    <definedName name="wskakunin_koutei_izen03_INTER_ISSUE_DATE">DATA!$D$1228</definedName>
    <definedName name="wskakunin_koutei_izen03_INTER_ISSUE_NAME">DATA!$D$1226</definedName>
    <definedName name="wskakunin_koutei_izen03_INTER_ISSUE_NO">DATA!$D$1227</definedName>
    <definedName name="wskakunin_koutei_izen03_KOUTEI_KAISUU">DATA!$D$1224</definedName>
    <definedName name="wskakunin_koutei_izen03_KOUTEI_TEXT">DATA!$D$1225</definedName>
    <definedName name="wskakunin_koutei_izen04_INTER_ISSUE_DATE">DATA!$D$1235</definedName>
    <definedName name="wskakunin_koutei_izen04_INTER_ISSUE_NAME">DATA!$D$1233</definedName>
    <definedName name="wskakunin_koutei_izen04_INTER_ISSUE_NO">DATA!$D$1234</definedName>
    <definedName name="wskakunin_koutei_izen04_KOUTEI_KAISUU">DATA!$D$1231</definedName>
    <definedName name="wskakunin_koutei_izen04_KOUTEI_TEXT">DATA!$D$1232</definedName>
    <definedName name="wskakunin_koutei01_INTER_ISSUE_DATE">DATA!$D$1308</definedName>
    <definedName name="wskakunin_koutei01_INTER_ISSUE_NAME">DATA!$D$1306</definedName>
    <definedName name="wskakunin_koutei01_INTER_ISSUE_NO">DATA!$D$1307</definedName>
    <definedName name="wskakunin_koutei01_KOUTEI_DATE">DATA!$D$1157</definedName>
    <definedName name="wskakunin_koutei01_KOUTEI_KAISUU">DATA!$D$1156</definedName>
    <definedName name="wskakunin_koutei01_KOUTEI_TEXT">DATA!$D$1158</definedName>
    <definedName name="wskakunin_koutei02_INTER_ISSUE_DATE">DATA!$D$1322</definedName>
    <definedName name="wskakunin_koutei02_INTER_ISSUE_NAME">DATA!$D$1320</definedName>
    <definedName name="wskakunin_koutei02_INTER_ISSUE_NO">DATA!$D$1321</definedName>
    <definedName name="wskakunin_koutei02_KOUTEI_DATE">DATA!$D$1162</definedName>
    <definedName name="wskakunin_koutei02_KOUTEI_KAISUU">DATA!$D$1161</definedName>
    <definedName name="wskakunin_koutei02_KOUTEI_TEXT">DATA!$D$1163</definedName>
    <definedName name="wskakunin_koutei03_KOUTEI_DATE">DATA!$D$1167</definedName>
    <definedName name="wskakunin_koutei03_KOUTEI_KAISUU">DATA!$D$1166</definedName>
    <definedName name="wskakunin_koutei03_KOUTEI_TEXT">DATA!$D$1168</definedName>
    <definedName name="wskakunin_koutei04_KOUTEI_DATE">DATA!$D$1172</definedName>
    <definedName name="wskakunin_koutei04_KOUTEI_KAISUU">DATA!$D$1171</definedName>
    <definedName name="wskakunin_koutei04_KOUTEI_TEXT">DATA!$D$1173</definedName>
    <definedName name="wskakunin_KOUZOU1">DATA!$D$1104</definedName>
    <definedName name="wskakunin_KOUZOU2">DATA!$D$1105</definedName>
    <definedName name="wskakunin_KUIKI_HISETTEI">DATA!$D$922</definedName>
    <definedName name="wskakunin_KUIKI_JYUN_TOSHI">DATA!$D$923</definedName>
    <definedName name="wskakunin_KUIKI_KUIKIGAI">DATA!$D$924</definedName>
    <definedName name="wskakunin_KUIKI_SIGAIKA">DATA!$D$919</definedName>
    <definedName name="wskakunin_KUIKI_TOSI">DATA!$D$916</definedName>
    <definedName name="wskakunin_KUIKI_TYOSEI">DATA!$D$921</definedName>
    <definedName name="wskakunin_kyoka01_">DATA!$D$1120</definedName>
    <definedName name="wskakunin_kyoka01_BIKOU">DATA!$D$1125</definedName>
    <definedName name="wskakunin_kyoka01_HOUREI">DATA!$D$1121</definedName>
    <definedName name="wskakunin_kyoka01_JOUKOU">DATA!$D$1122</definedName>
    <definedName name="wskakunin_kyoka01_KYOKA_DATE">DATA!$D$1124</definedName>
    <definedName name="wskakunin_kyoka01_KYOKA_NO">DATA!$D$1123</definedName>
    <definedName name="wskakunin_kyoka02_BIKOU">DATA!$D$1133</definedName>
    <definedName name="wskakunin_kyoka02_HOUREI">DATA!$D$1129</definedName>
    <definedName name="wskakunin_kyoka02_JOUKOU">DATA!$D$1130</definedName>
    <definedName name="wskakunin_kyoka02_KYOKA_DATE">DATA!$D$1132</definedName>
    <definedName name="wskakunin_kyoka02_KYOKA_NO">DATA!$D$1131</definedName>
    <definedName name="wskakunin_kyoka03_BIKOU">DATA!$D$1141</definedName>
    <definedName name="wskakunin_kyoka03_HOUREI">DATA!$D$1137</definedName>
    <definedName name="wskakunin_kyoka03_JOUKOU">DATA!$D$1138</definedName>
    <definedName name="wskakunin_kyoka03_KYOKA_DATE">DATA!$D$1140</definedName>
    <definedName name="wskakunin_kyoka03_KYOKA_NO">DATA!$D$1139</definedName>
    <definedName name="wskakunin_LAST_ISSUE_DATE">DATA!$D$61</definedName>
    <definedName name="wskakunin_LAST_ISSUE_NAME">DATA!$D$62</definedName>
    <definedName name="wskakunin_LAST_ISSUE_NO">DATA!$D$60</definedName>
    <definedName name="wskakunin_LIMIT_KENPEI_RITU">DATA!$D$967</definedName>
    <definedName name="wskakunin_LIMIT_YOUSEKI_RITU">DATA!$D$966</definedName>
    <definedName name="wskakunin_NOBE_MENSEKI">DATA!$D$1084</definedName>
    <definedName name="wskakunin_NOBE_MENSEKI_BITIKUSOUKO_IGAI">DATA!$D$1050</definedName>
    <definedName name="wskakunin_NOBE_MENSEKI_BITIKUSOUKO_SHINSEI">DATA!$D$1049</definedName>
    <definedName name="wskakunin_NOBE_MENSEKI_BITIKUSOUKO_TOTAL">DATA!$D$1051</definedName>
    <definedName name="wskakunin_NOBE_MENSEKI_BUILD_IGAI">DATA!$D$1025</definedName>
    <definedName name="wskakunin_NOBE_MENSEKI_BUILD_SHINSEI">DATA!$D$1024</definedName>
    <definedName name="wskakunin_NOBE_MENSEKI_BUILD_TOTAL">DATA!$D$1026</definedName>
    <definedName name="wskakunin_NOBE_MENSEKI_CHOSUISOU_IGAI">DATA!$D$1065</definedName>
    <definedName name="wskakunin_NOBE_MENSEKI_CHOSUISOU_SHINSEI">DATA!$D$1064</definedName>
    <definedName name="wskakunin_NOBE_MENSEKI_CHOSUISOU_TOTAL">DATA!$D$1066</definedName>
    <definedName name="wskakunin_NOBE_MENSEKI_JIKAHATUDEN_IGAI">DATA!$D$1060</definedName>
    <definedName name="wskakunin_NOBE_MENSEKI_JIKAHATUDEN_SHINSEI">DATA!$D$1059</definedName>
    <definedName name="wskakunin_NOBE_MENSEKI_JIKAHATUDEN_TOTAL">DATA!$D$1061</definedName>
    <definedName name="wskakunin_NOBE_MENSEKI_JYUTAKU_IGAI">DATA!$D$1075</definedName>
    <definedName name="wskakunin_NOBE_MENSEKI_JYUTAKU_SHINSEI">DATA!$D$1074</definedName>
    <definedName name="wskakunin_NOBE_MENSEKI_JYUTAKU_TOTAL">DATA!$D$1076</definedName>
    <definedName name="wskakunin_NOBE_MENSEKI_KYOYOU_IGAI">DATA!$D$1040</definedName>
    <definedName name="wskakunin_NOBE_MENSEKI_KYOYOU_SHINSEI">DATA!$D$1039</definedName>
    <definedName name="wskakunin_NOBE_MENSEKI_KYOYOU_TOTAL">DATA!$D$1041</definedName>
    <definedName name="wskakunin_NOBE_MENSEKI_ROUJIN_IGAI">DATA!$D$1080</definedName>
    <definedName name="wskakunin_NOBE_MENSEKI_ROUJIN_SHINSEI">DATA!$D$1079</definedName>
    <definedName name="wskakunin_NOBE_MENSEKI_ROUJIN_TOTAL">DATA!$D$1081</definedName>
    <definedName name="wskakunin_NOBE_MENSEKI_SYAKO_IGAI">DATA!$D$1045</definedName>
    <definedName name="wskakunin_NOBE_MENSEKI_SYAKO_SHINSEI">DATA!$D$1044</definedName>
    <definedName name="wskakunin_NOBE_MENSEKI_SYAKO_TOTAL">DATA!$D$1046</definedName>
    <definedName name="wskakunin_NOBE_MENSEKI_SYOUKOURO_IGAI">DATA!$D$1035</definedName>
    <definedName name="wskakunin_NOBE_MENSEKI_SYOUKOURO_SHINSEI">DATA!$D$1034</definedName>
    <definedName name="wskakunin_NOBE_MENSEKI_SYOUKOURO_TOTAL">DATA!$D$1036</definedName>
    <definedName name="wskakunin_NOBE_MENSEKI_TAKUHAI_IGAI">DATA!$D$1070</definedName>
    <definedName name="wskakunin_NOBE_MENSEKI_TAKUHAI_SHINSEI">DATA!$D$1069</definedName>
    <definedName name="wskakunin_NOBE_MENSEKI_TAKUHAI_TOTAL">DATA!$D$1071</definedName>
    <definedName name="wskakunin_NOBE_MENSEKI_TIKAI_IGAI">DATA!$D$1030</definedName>
    <definedName name="wskakunin_NOBE_MENSEKI_TIKAI_SHINSEI">DATA!$D$1029</definedName>
    <definedName name="wskakunin_NOBE_MENSEKI_TIKAI_TOTAL">DATA!$D$1031</definedName>
    <definedName name="wskakunin_NOBE_MENSEKI_TIKUDENTI_IGAI">DATA!$D$1055</definedName>
    <definedName name="wskakunin_NOBE_MENSEKI_TIKUDENTI_SHINSEI">DATA!$D$1054</definedName>
    <definedName name="wskakunin_NOBE_MENSEKI_TIKUDENTI_TOTAL">DATA!$D$1056</definedName>
    <definedName name="wskakunin_owner1__address">DATA!$D$86</definedName>
    <definedName name="wskakunin_owner1_JIMU_NAME">DATA!$D$76</definedName>
    <definedName name="wskakunin_owner1_JIMU_NAME_KANA">DATA!$D$77</definedName>
    <definedName name="wskakunin_owner1_NAME">DATA!$D$80</definedName>
    <definedName name="wskakunin_owner1_NAME_KANA">DATA!$D$81</definedName>
    <definedName name="wskakunin_owner1_POST">DATA!$D$78</definedName>
    <definedName name="wskakunin_owner1_POST_KANA">DATA!$D$79</definedName>
    <definedName name="wskakunin_owner1_TEL">DATA!$D$87</definedName>
    <definedName name="wskakunin_owner1_ZIP">DATA!$D$84</definedName>
    <definedName name="wskakunin_owner2__address">DATA!$D$104</definedName>
    <definedName name="wskakunin_owner2_JIMU_NAME">DATA!$D$97</definedName>
    <definedName name="wskakunin_owner2_JIMU_NAME_KANA">DATA!$D$98</definedName>
    <definedName name="wskakunin_owner2_NAME">DATA!$D$101</definedName>
    <definedName name="wskakunin_owner2_NAME_KANA">DATA!$D$102</definedName>
    <definedName name="wskakunin_owner2_POST">DATA!$D$99</definedName>
    <definedName name="wskakunin_owner2_POST_KANA">DATA!$D$100</definedName>
    <definedName name="wskakunin_owner2_TEL">DATA!$D$105</definedName>
    <definedName name="wskakunin_owner2_ZIP">DATA!$D$103</definedName>
    <definedName name="wskakunin_owner3__address">DATA!$D$118</definedName>
    <definedName name="wskakunin_owner3_JIMU_NAME">DATA!$D$111</definedName>
    <definedName name="wskakunin_owner3_JIMU_NAME_KANA">DATA!$D$112</definedName>
    <definedName name="wskakunin_owner3_NAME">DATA!$D$115</definedName>
    <definedName name="wskakunin_owner3_NAME_KANA">DATA!$D$116</definedName>
    <definedName name="wskakunin_owner3_POST">DATA!$D$113</definedName>
    <definedName name="wskakunin_owner3_POST_KANA">DATA!$D$114</definedName>
    <definedName name="wskakunin_owner3_TEL">DATA!$D$119</definedName>
    <definedName name="wskakunin_owner3_ZIP">DATA!$D$117</definedName>
    <definedName name="wskakunin_owner4__address">DATA!$D$131</definedName>
    <definedName name="wskakunin_owner4_JIMU_NAME">DATA!$D$124</definedName>
    <definedName name="wskakunin_owner4_JIMU_NAME_KANA">DATA!$D$125</definedName>
    <definedName name="wskakunin_owner4_NAME">DATA!$D$128</definedName>
    <definedName name="wskakunin_owner4_NAME_KANA">DATA!$D$129</definedName>
    <definedName name="wskakunin_owner4_POST">DATA!$D$126</definedName>
    <definedName name="wskakunin_owner4_POST_KANA">DATA!$D$127</definedName>
    <definedName name="wskakunin_owner4_TEL">DATA!$D$132</definedName>
    <definedName name="wskakunin_owner4_ZIP">DATA!$D$130</definedName>
    <definedName name="wskakunin_owner5__address">DATA!$D$143</definedName>
    <definedName name="wskakunin_owner5_JIMU_NAME">DATA!$D$136</definedName>
    <definedName name="wskakunin_owner5_JIMU_NAME_KANA">DATA!$D$137</definedName>
    <definedName name="wskakunin_owner5_NAME">DATA!$D$140</definedName>
    <definedName name="wskakunin_owner5_NAME_KANA">DATA!$D$141</definedName>
    <definedName name="wskakunin_owner5_POST">DATA!$D$138</definedName>
    <definedName name="wskakunin_owner5_POST_KANA">DATA!$D$139</definedName>
    <definedName name="wskakunin_owner5_TEL">DATA!$D$144</definedName>
    <definedName name="wskakunin_owner5_ZIP">DATA!$D$142</definedName>
    <definedName name="wskakunin_owner6__address">DATA!$D$155</definedName>
    <definedName name="wskakunin_owner6_JIMU_NAME">DATA!$D$148</definedName>
    <definedName name="wskakunin_owner6_JIMU_NAME_KANA">DATA!$D$149</definedName>
    <definedName name="wskakunin_owner6_NAME">DATA!$D$152</definedName>
    <definedName name="wskakunin_owner6_NAME_KANA">DATA!$D$153</definedName>
    <definedName name="wskakunin_owner6_POST">DATA!$D$150</definedName>
    <definedName name="wskakunin_owner6_POST_KANA">DATA!$D$151</definedName>
    <definedName name="wskakunin_owner6_TEL">DATA!$D$156</definedName>
    <definedName name="wskakunin_owner6_ZIP">DATA!$D$154</definedName>
    <definedName name="wskakunin_owner7__address">DATA!$D$167</definedName>
    <definedName name="wskakunin_owner7_JIMU_NAME">DATA!$D$160</definedName>
    <definedName name="wskakunin_owner7_JIMU_NAME_KANA">DATA!$D$161</definedName>
    <definedName name="wskakunin_owner7_NAME">DATA!$D$164</definedName>
    <definedName name="wskakunin_owner7_NAME_KANA">DATA!$D$165</definedName>
    <definedName name="wskakunin_owner7_POST">DATA!$D$162</definedName>
    <definedName name="wskakunin_owner7_POST_KANA">DATA!$D$163</definedName>
    <definedName name="wskakunin_owner7_TEL">DATA!$D$168</definedName>
    <definedName name="wskakunin_owner7_ZIP">DATA!$D$166</definedName>
    <definedName name="wskakunin_owner8__address">DATA!$D$178</definedName>
    <definedName name="wskakunin_owner8_JIMU_NAME">DATA!$D$171</definedName>
    <definedName name="wskakunin_owner8_JIMU_NAME_KANA">DATA!$D$172</definedName>
    <definedName name="wskakunin_owner8_NAME">DATA!$D$175</definedName>
    <definedName name="wskakunin_owner8_NAME_KANA">DATA!$D$176</definedName>
    <definedName name="wskakunin_owner8_POST">DATA!$D$173</definedName>
    <definedName name="wskakunin_owner8_POST_KANA">DATA!$D$174</definedName>
    <definedName name="wskakunin_owner8_TEL">DATA!$D$179</definedName>
    <definedName name="wskakunin_owner8_ZIP">DATA!$D$177</definedName>
    <definedName name="wskakunin_owner9__address">DATA!$D$189</definedName>
    <definedName name="wskakunin_owner9_JIMU_NAME">DATA!$D$182</definedName>
    <definedName name="wskakunin_owner9_JIMU_NAME_KANA">DATA!$D$183</definedName>
    <definedName name="wskakunin_owner9_NAME">DATA!$D$186</definedName>
    <definedName name="wskakunin_owner9_NAME_KANA">DATA!$D$187</definedName>
    <definedName name="wskakunin_owner9_POST">DATA!$D$184</definedName>
    <definedName name="wskakunin_owner9_POST_KANA">DATA!$D$185</definedName>
    <definedName name="wskakunin_owner9_TEL">DATA!$D$190</definedName>
    <definedName name="wskakunin_owner9_ZIP">DATA!$D$188</definedName>
    <definedName name="wskakunin_P1_HENKOU_GAIYOU">DATA!$D$63</definedName>
    <definedName name="wskakunin_P2_BIKOU">DATA!$D$844</definedName>
    <definedName name="wskakunin_P3_BIKOU">DATA!$D$1181</definedName>
    <definedName name="wskakunin_P3_SONOTA">DATA!$D$1179</definedName>
    <definedName name="wskakunin_p4_1__kouji">DATA!$D$885</definedName>
    <definedName name="wskakunin_p4_1_KAISU_TIKAI">DATA!$D$887</definedName>
    <definedName name="wskakunin_p4_1_KAISU_TIKAI_NOZOKU">DATA!$D$886</definedName>
    <definedName name="wskakunin_p4_1_KAISU_YUKA_MENSEKI_SHINSEI">DATA!$D$892</definedName>
    <definedName name="wskakunin_p4_1_KOUZOU1">DATA!$D$888</definedName>
    <definedName name="wskakunin_p4_1_KOUZOU2">DATA!$D$889</definedName>
    <definedName name="wskakunin_p4_1_p5_1_KAI">DATA!$D$897</definedName>
    <definedName name="wskakunin_p4_1_p5_1_P4_MENSEKI_SHINSEI">DATA!$D$898</definedName>
    <definedName name="wskakunin_p4_1_p5_2_KAI">DATA!$D$899</definedName>
    <definedName name="wskakunin_p4_1_p5_2_P4_MENSEKI_SHINSEI">DATA!$D$900</definedName>
    <definedName name="wskakunin_p4_1_p5_3_KAI">DATA!$D$901</definedName>
    <definedName name="wskakunin_p4_1_p5_3_P4_MENSEKI_SHINSEI">DATA!$D$902</definedName>
    <definedName name="wskakunin_p4_1_TAKASA_KEN_MAX">DATA!$D$891</definedName>
    <definedName name="wskakunin_p4_1_TAKASA_MAX">DATA!$D$890</definedName>
    <definedName name="wskakunin_p4_1_TOKUREI_KAKUNIN_FLAG">DATA!$D$893</definedName>
    <definedName name="wskakunin_p4_1_youto1_YOUTO">DATA!$D$876</definedName>
    <definedName name="wskakunin_p4_1_youto1_YOUTO_CODE">DATA!$D$877</definedName>
    <definedName name="wskakunin_PAGE1_ALTERATION_NOTE">DATA!$D$70</definedName>
    <definedName name="wskakunin_sekkei1__address">DATA!$D$298</definedName>
    <definedName name="wskakunin_sekkei1__sikaku">DATA!$D$286</definedName>
    <definedName name="wskakunin_sekkei1_DOC">DATA!$D$300</definedName>
    <definedName name="wskakunin_sekkei1_JIMU__sikaku">DATA!$D$291</definedName>
    <definedName name="wskakunin_sekkei1_JIMU_NAME">DATA!$D$295</definedName>
    <definedName name="wskakunin_sekkei1_JIMU_NO">DATA!$D$294</definedName>
    <definedName name="wskakunin_sekkei1_JIMU_SIKAKU__label">DATA!$D$292</definedName>
    <definedName name="wskakunin_sekkei1_JIMU_TOUROKU_KIKAN__label">DATA!$D$293</definedName>
    <definedName name="wskakunin_sekkei1_KENTIKUSI_NO">DATA!$D$289</definedName>
    <definedName name="wskakunin_sekkei1_NAME">DATA!$D$290</definedName>
    <definedName name="wskakunin_sekkei1_SIKAKU__label">DATA!$D$287</definedName>
    <definedName name="wskakunin_sekkei1_TEL">DATA!$D$299</definedName>
    <definedName name="wskakunin_sekkei1_TOUROKU_KIKAN__label">DATA!$D$288</definedName>
    <definedName name="wskakunin_sekkei1_ZIP">DATA!$D$297</definedName>
    <definedName name="wskakunin_sekkei10__address">DATA!$D$451</definedName>
    <definedName name="wskakunin_sekkei10__sikaku">DATA!$D$439</definedName>
    <definedName name="wskakunin_sekkei10_DOC">DATA!$D$453</definedName>
    <definedName name="wskakunin_sekkei10_JIMU__sikaku">DATA!$D$444</definedName>
    <definedName name="wskakunin_sekkei10_JIMU_NAME">DATA!$D$448</definedName>
    <definedName name="wskakunin_sekkei10_JIMU_NO">DATA!$D$447</definedName>
    <definedName name="wskakunin_sekkei10_JIMU_SIKAKU__label">DATA!$D$445</definedName>
    <definedName name="wskakunin_sekkei10_JIMU_TOUROKU_KIKAN__label">DATA!$D$446</definedName>
    <definedName name="wskakunin_sekkei10_KENTIKUSI_NO">DATA!$D$442</definedName>
    <definedName name="wskakunin_sekkei10_NAME">DATA!$D$443</definedName>
    <definedName name="wskakunin_sekkei10_SIKAKU__label">DATA!$D$440</definedName>
    <definedName name="wskakunin_sekkei10_TEL">DATA!$D$452</definedName>
    <definedName name="wskakunin_sekkei10_TOUROKU_KIKAN__label">DATA!$D$441</definedName>
    <definedName name="wskakunin_sekkei10_ZIP">DATA!$D$450</definedName>
    <definedName name="wskakunin_sekkei11__address">DATA!$D$468</definedName>
    <definedName name="wskakunin_sekkei11__sikaku">DATA!$D$456</definedName>
    <definedName name="wskakunin_sekkei11_DOC">DATA!$D$470</definedName>
    <definedName name="wskakunin_sekkei11_JIMU__sikaku">DATA!$D$461</definedName>
    <definedName name="wskakunin_sekkei11_JIMU_NAME">DATA!$D$465</definedName>
    <definedName name="wskakunin_sekkei11_JIMU_NO">DATA!$D$464</definedName>
    <definedName name="wskakunin_sekkei11_JIMU_SIKAKU__label">DATA!$D$462</definedName>
    <definedName name="wskakunin_sekkei11_JIMU_TOUROKU_KIKAN__label">DATA!$D$463</definedName>
    <definedName name="wskakunin_sekkei11_KENTIKUSI_NO">DATA!$D$459</definedName>
    <definedName name="wskakunin_sekkei11_NAME">DATA!$D$460</definedName>
    <definedName name="wskakunin_sekkei11_SIKAKU__label">DATA!$D$457</definedName>
    <definedName name="wskakunin_sekkei11_TEL">DATA!$D$469</definedName>
    <definedName name="wskakunin_sekkei11_TOUROKU_KIKAN__label">DATA!$D$458</definedName>
    <definedName name="wskakunin_sekkei11_ZIP">DATA!$D$467</definedName>
    <definedName name="wskakunin_sekkei12__address">DATA!$D$485</definedName>
    <definedName name="wskakunin_sekkei12__sikaku">DATA!$D$473</definedName>
    <definedName name="wskakunin_sekkei12_DOC">DATA!$D$487</definedName>
    <definedName name="wskakunin_sekkei12_JIMU__sikaku">DATA!$D$478</definedName>
    <definedName name="wskakunin_sekkei12_JIMU_NAME">DATA!$D$482</definedName>
    <definedName name="wskakunin_sekkei12_JIMU_NO">DATA!$D$481</definedName>
    <definedName name="wskakunin_sekkei12_JIMU_SIKAKU__label">DATA!$D$479</definedName>
    <definedName name="wskakunin_sekkei12_JIMU_TOUROKU_KIKAN__label">DATA!$D$480</definedName>
    <definedName name="wskakunin_sekkei12_KENTIKUSI_NO">DATA!$D$476</definedName>
    <definedName name="wskakunin_sekkei12_NAME">DATA!$D$477</definedName>
    <definedName name="wskakunin_sekkei12_SIKAKU__label">DATA!$D$474</definedName>
    <definedName name="wskakunin_sekkei12_TEL">DATA!$D$486</definedName>
    <definedName name="wskakunin_sekkei12_TOUROKU_KIKAN__label">DATA!$D$475</definedName>
    <definedName name="wskakunin_sekkei12_ZIP">DATA!$D$484</definedName>
    <definedName name="wskakunin_sekkei2__address">DATA!$D$315</definedName>
    <definedName name="wskakunin_sekkei2__sikaku">DATA!$D$303</definedName>
    <definedName name="wskakunin_sekkei2_DOC">DATA!$D$317</definedName>
    <definedName name="wskakunin_sekkei2_JIMU__sikaku">DATA!$D$308</definedName>
    <definedName name="wskakunin_sekkei2_JIMU_NAME">DATA!$D$312</definedName>
    <definedName name="wskakunin_sekkei2_JIMU_NO">DATA!$D$311</definedName>
    <definedName name="wskakunin_sekkei2_JIMU_SIKAKU__label">DATA!$D$309</definedName>
    <definedName name="wskakunin_sekkei2_JIMU_TOUROKU_KIKAN__label">DATA!$D$310</definedName>
    <definedName name="wskakunin_sekkei2_KENTIKUSI_NO">DATA!$D$306</definedName>
    <definedName name="wskakunin_sekkei2_NAME">DATA!$D$307</definedName>
    <definedName name="wskakunin_sekkei2_SIKAKU__label">DATA!$D$304</definedName>
    <definedName name="wskakunin_sekkei2_TEL">DATA!$D$316</definedName>
    <definedName name="wskakunin_sekkei2_TOUROKU_KIKAN__label">DATA!$D$305</definedName>
    <definedName name="wskakunin_sekkei2_ZIP">DATA!$D$314</definedName>
    <definedName name="wskakunin_sekkei3__address">DATA!$D$332</definedName>
    <definedName name="wskakunin_sekkei3__sikaku">DATA!$D$320</definedName>
    <definedName name="wskakunin_sekkei3_DOC">DATA!$D$334</definedName>
    <definedName name="wskakunin_sekkei3_JIMU__sikaku">DATA!$D$325</definedName>
    <definedName name="wskakunin_sekkei3_JIMU_NAME">DATA!$D$329</definedName>
    <definedName name="wskakunin_sekkei3_JIMU_NO">DATA!$D$328</definedName>
    <definedName name="wskakunin_sekkei3_JIMU_SIKAKU__label">DATA!$D$326</definedName>
    <definedName name="wskakunin_sekkei3_JIMU_TOUROKU_KIKAN__label">DATA!$D$327</definedName>
    <definedName name="wskakunin_sekkei3_KENTIKUSI_NO">DATA!$D$323</definedName>
    <definedName name="wskakunin_sekkei3_NAME">DATA!$D$324</definedName>
    <definedName name="wskakunin_sekkei3_SIKAKU__label">DATA!$D$321</definedName>
    <definedName name="wskakunin_sekkei3_TEL">DATA!$D$333</definedName>
    <definedName name="wskakunin_sekkei3_TOUROKU_KIKAN__label">DATA!$D$322</definedName>
    <definedName name="wskakunin_sekkei3_ZIP">DATA!$D$331</definedName>
    <definedName name="wskakunin_sekkei4__address">DATA!$D$349</definedName>
    <definedName name="wskakunin_sekkei4__sikaku">DATA!$D$337</definedName>
    <definedName name="wskakunin_sekkei4_DOC">DATA!$D$351</definedName>
    <definedName name="wskakunin_sekkei4_JIMU__sikaku">DATA!$D$342</definedName>
    <definedName name="wskakunin_sekkei4_JIMU_NAME">DATA!$D$346</definedName>
    <definedName name="wskakunin_sekkei4_JIMU_NO">DATA!$D$345</definedName>
    <definedName name="wskakunin_sekkei4_JIMU_SIKAKU__label">DATA!$D$343</definedName>
    <definedName name="wskakunin_sekkei4_JIMU_TOUROKU_KIKAN__label">DATA!$D$344</definedName>
    <definedName name="wskakunin_sekkei4_KENTIKUSI_NO">DATA!$D$340</definedName>
    <definedName name="wskakunin_sekkei4_NAME">DATA!$D$341</definedName>
    <definedName name="wskakunin_sekkei4_SIKAKU__label">DATA!$D$338</definedName>
    <definedName name="wskakunin_sekkei4_TEL">DATA!$D$350</definedName>
    <definedName name="wskakunin_sekkei4_TOUROKU_KIKAN__label">DATA!$D$339</definedName>
    <definedName name="wskakunin_sekkei4_ZIP">DATA!$D$348</definedName>
    <definedName name="wskakunin_sekkei5__address">DATA!$D$366</definedName>
    <definedName name="wskakunin_sekkei5__sikaku">DATA!$D$354</definedName>
    <definedName name="wskakunin_sekkei5_DOC">DATA!$D$368</definedName>
    <definedName name="wskakunin_sekkei5_JIMU__sikaku">DATA!$D$359</definedName>
    <definedName name="wskakunin_sekkei5_JIMU_NAME">DATA!$D$363</definedName>
    <definedName name="wskakunin_sekkei5_JIMU_NO">DATA!$D$362</definedName>
    <definedName name="wskakunin_sekkei5_JIMU_SIKAKU__label">DATA!$D$360</definedName>
    <definedName name="wskakunin_sekkei5_JIMU_TOUROKU_KIKAN__label">DATA!$D$361</definedName>
    <definedName name="wskakunin_sekkei5_KENTIKUSI_NO">DATA!$D$357</definedName>
    <definedName name="wskakunin_sekkei5_NAME">DATA!$D$358</definedName>
    <definedName name="wskakunin_sekkei5_SIKAKU__label">DATA!$D$355</definedName>
    <definedName name="wskakunin_sekkei5_TEL">DATA!$D$367</definedName>
    <definedName name="wskakunin_sekkei5_TOUROKU_KIKAN__label">DATA!$D$356</definedName>
    <definedName name="wskakunin_sekkei5_ZIP">DATA!$D$365</definedName>
    <definedName name="wskakunin_sekkei6__address">DATA!$D$383</definedName>
    <definedName name="wskakunin_sekkei6__sikaku">DATA!$D$371</definedName>
    <definedName name="wskakunin_sekkei6_DOC">DATA!$D$385</definedName>
    <definedName name="wskakunin_sekkei6_JIMU__sikaku">DATA!$D$376</definedName>
    <definedName name="wskakunin_sekkei6_JIMU_NAME">DATA!$D$380</definedName>
    <definedName name="wskakunin_sekkei6_JIMU_NO">DATA!$D$379</definedName>
    <definedName name="wskakunin_sekkei6_JIMU_SIKAKU__label">DATA!$D$377</definedName>
    <definedName name="wskakunin_sekkei6_JIMU_TOUROKU_KIKAN__label">DATA!$D$378</definedName>
    <definedName name="wskakunin_sekkei6_KENTIKUSI_NO">DATA!$D$374</definedName>
    <definedName name="wskakunin_sekkei6_NAME">DATA!$D$375</definedName>
    <definedName name="wskakunin_sekkei6_SIKAKU__label">DATA!$D$372</definedName>
    <definedName name="wskakunin_sekkei6_TEL">DATA!$D$384</definedName>
    <definedName name="wskakunin_sekkei6_TOUROKU_KIKAN__label">DATA!$D$373</definedName>
    <definedName name="wskakunin_sekkei6_ZIP">DATA!$D$382</definedName>
    <definedName name="wskakunin_sekkei7__address">DATA!$D$400</definedName>
    <definedName name="wskakunin_sekkei7__sikaku">DATA!$D$388</definedName>
    <definedName name="wskakunin_sekkei7_DOC">DATA!$D$402</definedName>
    <definedName name="wskakunin_sekkei7_JIMU__sikaku">DATA!$D$393</definedName>
    <definedName name="wskakunin_sekkei7_JIMU_NAME">DATA!$D$397</definedName>
    <definedName name="wskakunin_sekkei7_JIMU_NO">DATA!$D$396</definedName>
    <definedName name="wskakunin_sekkei7_JIMU_SIKAKU__label">DATA!$D$394</definedName>
    <definedName name="wskakunin_sekkei7_JIMU_TOUROKU_KIKAN__label">DATA!$D$395</definedName>
    <definedName name="wskakunin_sekkei7_KENTIKUSI_NO">DATA!$D$391</definedName>
    <definedName name="wskakunin_sekkei7_NAME">DATA!$D$392</definedName>
    <definedName name="wskakunin_sekkei7_SIKAKU__label">DATA!$D$389</definedName>
    <definedName name="wskakunin_sekkei7_TEL">DATA!$D$401</definedName>
    <definedName name="wskakunin_sekkei7_TOUROKU_KIKAN__label">DATA!$D$390</definedName>
    <definedName name="wskakunin_sekkei7_ZIP">DATA!$D$399</definedName>
    <definedName name="wskakunin_sekkei8__address">DATA!$D$417</definedName>
    <definedName name="wskakunin_sekkei8__sikaku">DATA!$D$405</definedName>
    <definedName name="wskakunin_sekkei8_DOC">DATA!$D$419</definedName>
    <definedName name="wskakunin_sekkei8_JIMU__sikaku">DATA!$D$410</definedName>
    <definedName name="wskakunin_sekkei8_JIMU_NAME">DATA!$D$414</definedName>
    <definedName name="wskakunin_sekkei8_JIMU_NO">DATA!$D$413</definedName>
    <definedName name="wskakunin_sekkei8_JIMU_SIKAKU__label">DATA!$D$411</definedName>
    <definedName name="wskakunin_sekkei8_JIMU_TOUROKU_KIKAN__label">DATA!$D$412</definedName>
    <definedName name="wskakunin_sekkei8_KENTIKUSI_NO">DATA!$D$408</definedName>
    <definedName name="wskakunin_sekkei8_NAME">DATA!$D$409</definedName>
    <definedName name="wskakunin_sekkei8_SIKAKU__label">DATA!$D$406</definedName>
    <definedName name="wskakunin_sekkei8_TEL">DATA!$D$418</definedName>
    <definedName name="wskakunin_sekkei8_TOUROKU_KIKAN__label">DATA!$D$407</definedName>
    <definedName name="wskakunin_sekkei8_ZIP">DATA!$D$416</definedName>
    <definedName name="wskakunin_sekkei9__address">DATA!$D$434</definedName>
    <definedName name="wskakunin_sekkei9__sikaku">DATA!$D$422</definedName>
    <definedName name="wskakunin_sekkei9_DOC">DATA!$D$436</definedName>
    <definedName name="wskakunin_sekkei9_JIMU__sikaku">DATA!$D$427</definedName>
    <definedName name="wskakunin_sekkei9_JIMU_NAME">DATA!$D$431</definedName>
    <definedName name="wskakunin_sekkei9_JIMU_NO">DATA!$D$430</definedName>
    <definedName name="wskakunin_sekkei9_JIMU_SIKAKU__label">DATA!$D$428</definedName>
    <definedName name="wskakunin_sekkei9_JIMU_TOUROKU_KIKAN__label">DATA!$D$429</definedName>
    <definedName name="wskakunin_sekkei9_KENTIKUSI_NO">DATA!$D$425</definedName>
    <definedName name="wskakunin_sekkei9_NAME">DATA!$D$426</definedName>
    <definedName name="wskakunin_sekkei9_SIKAKU__label">DATA!$D$423</definedName>
    <definedName name="wskakunin_sekkei9_TEL">DATA!$D$435</definedName>
    <definedName name="wskakunin_sekkei9_TOUROKU_KIKAN__label">DATA!$D$424</definedName>
    <definedName name="wskakunin_sekkei9_ZIP">DATA!$D$433</definedName>
    <definedName name="wskakunin_sekou1__address">DATA!$D$784</definedName>
    <definedName name="wskakunin_sekou1_JIMU_NAME">DATA!$D$782</definedName>
    <definedName name="wskakunin_sekou1_NAME">DATA!$D$778</definedName>
    <definedName name="wskakunin_sekou1_SEKOU__sikaku">DATA!$D$779</definedName>
    <definedName name="wskakunin_sekou1_SEKOU_NO">DATA!$D$781</definedName>
    <definedName name="wskakunin_sekou1_SEKOU_SIKAKU__label">DATA!$D$780</definedName>
    <definedName name="wskakunin_sekou1_TEL">DATA!$D$785</definedName>
    <definedName name="wskakunin_sekou1_ZIP">DATA!$D$783</definedName>
    <definedName name="wskakunin_sekou2__address">DATA!$D$795</definedName>
    <definedName name="wskakunin_sekou2_JIMU_NAME">DATA!$D$793</definedName>
    <definedName name="wskakunin_sekou2_NAME">DATA!$D$789</definedName>
    <definedName name="wskakunin_sekou2_SEKOU__sikaku">DATA!$D$790</definedName>
    <definedName name="wskakunin_sekou2_SEKOU_NO">DATA!$D$792</definedName>
    <definedName name="wskakunin_sekou2_SEKOU_SIKAKU__label">DATA!$D$791</definedName>
    <definedName name="wskakunin_sekou2_TEL">DATA!$D$796</definedName>
    <definedName name="wskakunin_sekou2_ZIP">DATA!$D$794</definedName>
    <definedName name="wskakunin_sekou3__address">DATA!$D$805</definedName>
    <definedName name="wskakunin_sekou3_JIMU_NAME">DATA!$D$803</definedName>
    <definedName name="wskakunin_sekou3_NAME">DATA!$D$799</definedName>
    <definedName name="wskakunin_sekou3_SEKOU__sikaku">DATA!$D$800</definedName>
    <definedName name="wskakunin_sekou3_SEKOU_NO">DATA!$D$802</definedName>
    <definedName name="wskakunin_sekou3_SEKOU_SIKAKU__label">DATA!$D$801</definedName>
    <definedName name="wskakunin_sekou3_TEL">DATA!$D$806</definedName>
    <definedName name="wskakunin_sekou3_ZIP">DATA!$D$804</definedName>
    <definedName name="wskakunin_sekou4__address">DATA!$D$815</definedName>
    <definedName name="wskakunin_sekou4_JIMU_NAME">DATA!$D$813</definedName>
    <definedName name="wskakunin_sekou4_NAME">DATA!$D$809</definedName>
    <definedName name="wskakunin_sekou4_SEKOU__sikaku">DATA!$D$810</definedName>
    <definedName name="wskakunin_sekou4_SEKOU_NO">DATA!$D$812</definedName>
    <definedName name="wskakunin_sekou4_SEKOU_SIKAKU__label">DATA!$D$811</definedName>
    <definedName name="wskakunin_sekou4_TEL">DATA!$D$816</definedName>
    <definedName name="wskakunin_sekou4_ZIP">DATA!$D$814</definedName>
    <definedName name="wskakunin_sekou5__address">DATA!$D$825</definedName>
    <definedName name="wskakunin_sekou5_JIMU_NAME">DATA!$D$823</definedName>
    <definedName name="wskakunin_sekou5_NAME">DATA!$D$819</definedName>
    <definedName name="wskakunin_sekou5_SEKOU__sikaku">DATA!$D$820</definedName>
    <definedName name="wskakunin_sekou5_SEKOU_NO">DATA!$D$822</definedName>
    <definedName name="wskakunin_sekou5_SEKOU_SIKAKU__label">DATA!$D$821</definedName>
    <definedName name="wskakunin_sekou5_TEL">DATA!$D$826</definedName>
    <definedName name="wskakunin_sekou5_ZIP">DATA!$D$824</definedName>
    <definedName name="wskakunin_sekou6__address">DATA!$D$835</definedName>
    <definedName name="wskakunin_sekou6_JIMU_NAME">DATA!$D$833</definedName>
    <definedName name="wskakunin_sekou6_NAME">DATA!$D$829</definedName>
    <definedName name="wskakunin_sekou6_SEKOU__sikaku">DATA!$D$830</definedName>
    <definedName name="wskakunin_sekou6_SEKOU_NO">DATA!$D$832</definedName>
    <definedName name="wskakunin_sekou6_SEKOU_SIKAKU__label">DATA!$D$831</definedName>
    <definedName name="wskakunin_sekou6_TEL">DATA!$D$836</definedName>
    <definedName name="wskakunin_sekou6_ZIP">DATA!$D$834</definedName>
    <definedName name="wskakunin_SHIKITI_MENSEKI_1_TOTAL">DATA!$D$964</definedName>
    <definedName name="wskakunin_SHIKITI_MENSEKI_1A">DATA!$D$940</definedName>
    <definedName name="wskakunin_SHIKITI_MENSEKI_1B">DATA!$D$941</definedName>
    <definedName name="wskakunin_SHIKITI_MENSEKI_1C">DATA!$D$942</definedName>
    <definedName name="wskakunin_SHIKITI_MENSEKI_1D">DATA!$D$943</definedName>
    <definedName name="wskakunin_SHIKITI_MENSEKI_2_TOTAL">DATA!$D$965</definedName>
    <definedName name="wskakunin_SHIKITI_MENSEKI_2A">DATA!$D$944</definedName>
    <definedName name="wskakunin_SHIKITI_MENSEKI_2B">DATA!$D$945</definedName>
    <definedName name="wskakunin_SHIKITI_MENSEKI_2C">DATA!$D$946</definedName>
    <definedName name="wskakunin_SHIKITI_MENSEKI_2D">DATA!$D$947</definedName>
    <definedName name="wskakunin_SHIKITI_MENSEKI_BIKOU">DATA!$D$968</definedName>
    <definedName name="wskakunin_SHINSEI_DATE">DATA!$D$58</definedName>
    <definedName name="wskakunin_SONOTA_KUIKI">DATA!$D$932</definedName>
    <definedName name="wskakunin_TAKASA_MAX_SHINSEI">DATA!$D$1095</definedName>
    <definedName name="wskakunin_TAKASA_MAX_SONOTA">DATA!$D$1096</definedName>
    <definedName name="wskakunin_tekihan01_TEKIHAN_KIKAN_ADDRESS">DATA!$D$854</definedName>
    <definedName name="wskakunin_tekihan01_TEKIHAN_KIKAN_KEN__ken">DATA!$D$853</definedName>
    <definedName name="wskakunin_tekihan01_TEKIHAN_KIKAN_NAME">DATA!$D$852</definedName>
    <definedName name="wskakunin_tekihan01_TEKIHAN_STATE">DATA!$D$848</definedName>
    <definedName name="wskakunin_tekihan02_TEKIHAN_KIKAN_ADDRESS">DATA!$D$858</definedName>
    <definedName name="wskakunin_tekihan02_TEKIHAN_KIKAN_KEN__ken">DATA!$D$857</definedName>
    <definedName name="wskakunin_tekihan02_TEKIHAN_KIKAN_NAME">DATA!$D$856</definedName>
    <definedName name="wskakunin_TOKUREI_1">DATA!$D$1189</definedName>
    <definedName name="wskakunin_TOKUREI_2">DATA!$D$1190</definedName>
    <definedName name="wskakunin_TOKUREI_3">DATA!$D$1191</definedName>
    <definedName name="wskakunin_TOKUREI_4">DATA!$D$1192</definedName>
    <definedName name="wskakunin_TOKUREI_TAKASA">DATA!$D$1110</definedName>
    <definedName name="wskakunin_TOKUREI_TAKASA_DOURO">DATA!$D$1115</definedName>
    <definedName name="wskakunin_TOKUREI_TAKASA_KITA">DATA!$D$1117</definedName>
    <definedName name="wskakunin_TOKUREI_TAKASA_RINTI">DATA!$D$1116</definedName>
    <definedName name="wskakunin_TOKUTEI_KOUJI_KANRYOU_DATE">DATA!$D$1204</definedName>
    <definedName name="wskakunin_TOKUTEI_KOUTEI">DATA!$D$1201</definedName>
    <definedName name="wskakunin_YOUSEKI_RITU">DATA!$D$1087</definedName>
    <definedName name="wskakunin_YOUSEKI_RITU_A">DATA!$D$954</definedName>
    <definedName name="wskakunin_YOUSEKI_RITU_B">DATA!$D$955</definedName>
    <definedName name="wskakunin_YOUSEKI_RITU_C">DATA!$D$956</definedName>
    <definedName name="wskakunin_YOUSEKI_RITU_D">DATA!$D$957</definedName>
    <definedName name="wskakunin_YOUTO">DATA!$D$971</definedName>
    <definedName name="wskakunin_YOUTO_CODE">DATA!$D$970</definedName>
    <definedName name="wskakunin_YOUTO_TIIKI_A">DATA!$D$949</definedName>
    <definedName name="wskakunin_YOUTO_TIIKI_B">DATA!$D$950</definedName>
    <definedName name="wskakunin_YOUTO_TIIKI_C">DATA!$D$951</definedName>
    <definedName name="wskakunin_YOUTO_TIIKI_D">DATA!$D$952</definedName>
    <definedName name="wskakuninKOUJI_SETUBI">DATA!$D$984</definedName>
    <definedName name="Z_D83ABAE7_1F4C_4C77_8E04_C5172671ED17_.wvu.Rows" localSheetId="2" hidden="1">DATA!$878:$884</definedName>
    <definedName name="しろくろ">リスト!$I$1:$I$2</definedName>
    <definedName name="チェック">リスト!$P$1:$P$2</definedName>
    <definedName name="はんとく">リスト!$F$1:$F$3</definedName>
    <definedName name="一級">項目リスト!$A$3</definedName>
    <definedName name="外壁後退">リスト!$K$1:$K$5</definedName>
    <definedName name="確変">リスト!$S$1:$S$2</definedName>
    <definedName name="居住専用番号">リスト!$Q$1:$Q$5</definedName>
    <definedName name="許可">リスト!$M$1:$M$20</definedName>
    <definedName name="許可区分">リスト!$D$1:$D$4</definedName>
    <definedName name="近隣商業地域">項目リスト!$L$3:$L$8</definedName>
    <definedName name="近隣商業地域建ぺい率">項目リスト!$Y$3:$Y$4</definedName>
    <definedName name="月">リスト!$H$1:$H$13</definedName>
    <definedName name="建ぺい率">項目リスト!$R$2:$AD$2</definedName>
    <definedName name="建昇工">リスト!$T$1:$T$3</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項目リスト!$AO$8:$AO$44</definedName>
    <definedName name="工事届用主要用途区分">項目リスト!$AO$3:$AP$44</definedName>
    <definedName name="構造">項目リスト!$AF$3:$AF$8</definedName>
    <definedName name="号">リスト!$U$1:$U$2</definedName>
    <definedName name="産業番号">リスト!$R$1:$R$37</definedName>
    <definedName name="指定なし">項目リスト!$Q$3:$Q$8</definedName>
    <definedName name="指定なし建ぺい率">項目リスト!$AD$3:$AD$7</definedName>
    <definedName name="施工者">項目リスト!$D$3:$D$51</definedName>
    <definedName name="資格">リスト!$A$2:$A$5</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リスト!$C$1:$C$6</definedName>
    <definedName name="数字">リスト!$G$1:$G$32</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都道府県">リスト!$B$1:$B$3</definedName>
    <definedName name="特定工程">リスト!$N$1:$N$12</definedName>
    <definedName name="二級">項目リスト!$B$3:$B$49</definedName>
    <definedName name="年度">リスト!$E$1:$E$22</definedName>
    <definedName name="便所">項目リスト!$AN$3:$AN$5</definedName>
    <definedName name="面積">リスト!$J$1:$J$4</definedName>
    <definedName name="木造">項目リスト!$C$3:$C$49</definedName>
    <definedName name="容積率">項目リスト!$E$2:$Q$2</definedName>
    <definedName name="用途区分">項目リスト!$AG$3:$AG$68</definedName>
    <definedName name="用途地域">項目リスト!$AE$3:$AE$15</definedName>
    <definedName name="和暦">リスト!$O$1:$O$3</definedName>
  </definedNames>
  <calcPr calcId="191029"/>
  <customWorkbookViews>
    <customWorkbookView name="kasumi-PC - 個人用ビュー" guid="{E028D9C5-4CBB-430B-B1F8-80DD1ABDFA29}" mergeInterval="0" personalView="1" maximized="1" xWindow="1912" yWindow="-8" windowWidth="1936" windowHeight="1096" tabRatio="947" activeSheetId="3"/>
    <customWorkbookView name="tokunaga - 個人用ビュー" guid="{D83ABAE7-1F4C-4C77-8E04-C5172671ED17}" mergeInterval="0" personalView="1" maximized="1" xWindow="1912" yWindow="-8" windowWidth="1936" windowHeight="1096" tabRatio="947" activeSheetId="2"/>
    <customWorkbookView name="terada - 個人用ビュー" guid="{2DA24103-744A-47E0-AFFB-F94A0E194D57}" mergeInterval="0" personalView="1" xWindow="2047" yWindow="11" windowWidth="1720" windowHeight="1010" tabRatio="9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146" l="1"/>
  <c r="U11" i="146"/>
  <c r="U11" i="151"/>
  <c r="L21" i="152"/>
  <c r="U8" i="152"/>
  <c r="J56" i="153"/>
  <c r="Y10" i="148"/>
  <c r="M29" i="147"/>
  <c r="U13" i="147"/>
  <c r="Z61" i="145"/>
  <c r="V61" i="145"/>
  <c r="V60" i="145"/>
  <c r="Z59" i="145"/>
  <c r="X59" i="145"/>
  <c r="V59" i="145"/>
  <c r="V58" i="145"/>
  <c r="L55" i="145"/>
  <c r="P31" i="145"/>
  <c r="J27" i="145"/>
  <c r="V7" i="145"/>
  <c r="D17" i="144"/>
  <c r="D13" i="144"/>
  <c r="N5" i="144"/>
  <c r="D17" i="143"/>
  <c r="D13" i="143"/>
  <c r="N5" i="143"/>
  <c r="D17" i="141"/>
  <c r="D13" i="141"/>
  <c r="N5" i="141"/>
  <c r="O17" i="132"/>
  <c r="R115" i="140"/>
  <c r="R114" i="140"/>
  <c r="R113" i="140"/>
  <c r="W109" i="140"/>
  <c r="H109" i="140"/>
  <c r="W108" i="140"/>
  <c r="H108" i="140"/>
  <c r="I94" i="140"/>
  <c r="W66" i="140"/>
  <c r="P66" i="140"/>
  <c r="R64" i="140"/>
  <c r="R63" i="140"/>
  <c r="R62" i="140"/>
  <c r="U61" i="140"/>
  <c r="K61" i="140"/>
  <c r="G58" i="140"/>
  <c r="Q47" i="140"/>
  <c r="O47" i="140"/>
  <c r="M47" i="140"/>
  <c r="K47" i="140"/>
  <c r="K46" i="140"/>
  <c r="H33" i="140"/>
  <c r="E28" i="140"/>
  <c r="E18" i="140"/>
  <c r="B10" i="140"/>
  <c r="S8" i="140"/>
  <c r="F1333" i="3"/>
  <c r="F1322" i="3"/>
  <c r="F1321" i="3"/>
  <c r="F1320" i="3"/>
  <c r="F1319" i="3"/>
  <c r="F1308" i="3"/>
  <c r="F1307" i="3"/>
  <c r="F1306" i="3"/>
  <c r="F1305" i="3"/>
  <c r="F1298" i="3"/>
  <c r="F1297" i="3"/>
  <c r="F1274" i="3"/>
  <c r="F1273" i="3"/>
  <c r="F1272" i="3"/>
  <c r="F1269" i="3"/>
  <c r="F1268" i="3"/>
  <c r="F1267" i="3"/>
  <c r="F1235" i="3"/>
  <c r="F1234" i="3"/>
  <c r="F1233" i="3"/>
  <c r="F1232" i="3"/>
  <c r="F1231" i="3"/>
  <c r="F1228" i="3"/>
  <c r="F1227" i="3"/>
  <c r="F1226" i="3"/>
  <c r="F1225" i="3"/>
  <c r="F1224" i="3"/>
  <c r="F1221" i="3"/>
  <c r="F1220" i="3"/>
  <c r="F1219" i="3"/>
  <c r="F1218" i="3"/>
  <c r="F1217" i="3"/>
  <c r="F1214" i="3"/>
  <c r="F1213" i="3"/>
  <c r="F1212" i="3"/>
  <c r="F1211" i="3"/>
  <c r="F1210" i="3"/>
  <c r="F1201" i="3"/>
  <c r="F1194" i="3"/>
  <c r="F1188" i="3"/>
  <c r="F1181" i="3"/>
  <c r="F1179" i="3"/>
  <c r="F1177" i="3"/>
  <c r="F1176" i="3"/>
  <c r="F1175" i="3"/>
  <c r="F1173" i="3"/>
  <c r="F1172" i="3"/>
  <c r="F1171" i="3"/>
  <c r="F1168" i="3"/>
  <c r="F1167" i="3"/>
  <c r="F1166" i="3"/>
  <c r="F1163" i="3"/>
  <c r="F1162" i="3"/>
  <c r="X60" i="145" s="1"/>
  <c r="F1161" i="3"/>
  <c r="F1318" i="3" s="1"/>
  <c r="F1158" i="3"/>
  <c r="F1157" i="3"/>
  <c r="AB59" i="145" s="1"/>
  <c r="F1156" i="3"/>
  <c r="F1304" i="3" s="1"/>
  <c r="F1151" i="3"/>
  <c r="F1150" i="3"/>
  <c r="F1148" i="3"/>
  <c r="AB61" i="145" s="1"/>
  <c r="F1146" i="3"/>
  <c r="X58" i="145" s="1"/>
  <c r="F1141" i="3"/>
  <c r="F1140" i="3"/>
  <c r="F1139" i="3"/>
  <c r="F1138" i="3"/>
  <c r="F1137" i="3"/>
  <c r="F1133" i="3"/>
  <c r="F1132" i="3"/>
  <c r="F1131" i="3"/>
  <c r="F1130" i="3"/>
  <c r="F1129" i="3"/>
  <c r="F1125" i="3"/>
  <c r="F1124" i="3"/>
  <c r="F1123" i="3"/>
  <c r="F1122" i="3"/>
  <c r="F1121" i="3"/>
  <c r="F1144" i="3" s="1"/>
  <c r="F1117" i="3"/>
  <c r="F1116" i="3"/>
  <c r="F1115" i="3"/>
  <c r="F1112" i="3"/>
  <c r="F1111" i="3"/>
  <c r="F1110" i="3"/>
  <c r="F1108" i="3"/>
  <c r="F1107" i="3"/>
  <c r="F1106" i="3"/>
  <c r="F1105" i="3"/>
  <c r="F1104" i="3"/>
  <c r="F1102" i="3"/>
  <c r="F1101" i="3"/>
  <c r="F1099" i="3"/>
  <c r="F1098" i="3"/>
  <c r="F1096" i="3"/>
  <c r="F1095" i="3"/>
  <c r="F1091" i="3"/>
  <c r="F1090" i="3"/>
  <c r="F1087" i="3"/>
  <c r="F1084" i="3"/>
  <c r="F1081" i="3"/>
  <c r="F1080" i="3"/>
  <c r="F1079" i="3"/>
  <c r="F1076" i="3"/>
  <c r="F1075" i="3"/>
  <c r="F1074" i="3"/>
  <c r="F1071" i="3"/>
  <c r="F1070" i="3"/>
  <c r="F1069" i="3"/>
  <c r="F1066" i="3"/>
  <c r="F1065" i="3"/>
  <c r="F1064" i="3"/>
  <c r="F1061" i="3"/>
  <c r="F1060" i="3"/>
  <c r="F1059" i="3"/>
  <c r="F1056" i="3"/>
  <c r="F1055" i="3"/>
  <c r="F1054" i="3"/>
  <c r="F1051" i="3"/>
  <c r="F1050" i="3"/>
  <c r="F1049" i="3"/>
  <c r="F1046" i="3"/>
  <c r="F1045" i="3"/>
  <c r="F1044" i="3"/>
  <c r="F1041" i="3"/>
  <c r="F1040" i="3"/>
  <c r="F1039" i="3"/>
  <c r="F1036" i="3"/>
  <c r="F1035" i="3"/>
  <c r="F1034" i="3"/>
  <c r="F1031" i="3"/>
  <c r="F1030" i="3"/>
  <c r="F1029" i="3"/>
  <c r="F1026" i="3"/>
  <c r="F1025" i="3"/>
  <c r="F1024" i="3"/>
  <c r="I88" i="140" s="1"/>
  <c r="F1020" i="3"/>
  <c r="F1019" i="3"/>
  <c r="F1018" i="3"/>
  <c r="F1017" i="3"/>
  <c r="F1014" i="3"/>
  <c r="F1013" i="3"/>
  <c r="F1012" i="3"/>
  <c r="F1011" i="3"/>
  <c r="F1010" i="3"/>
  <c r="F1009" i="3"/>
  <c r="F1008" i="3"/>
  <c r="F1007" i="3"/>
  <c r="F1006" i="3"/>
  <c r="F1003" i="3"/>
  <c r="F1002" i="3"/>
  <c r="F1001" i="3"/>
  <c r="F1000" i="3"/>
  <c r="F999" i="3"/>
  <c r="F998" i="3"/>
  <c r="F996" i="3"/>
  <c r="F995" i="3"/>
  <c r="F994" i="3"/>
  <c r="F993" i="3"/>
  <c r="F992" i="3"/>
  <c r="F991" i="3"/>
  <c r="F990" i="3"/>
  <c r="F989" i="3"/>
  <c r="F988" i="3"/>
  <c r="F984" i="3"/>
  <c r="F983" i="3"/>
  <c r="O18" i="132" s="1"/>
  <c r="F982" i="3"/>
  <c r="J18" i="132" s="1"/>
  <c r="F981" i="3"/>
  <c r="F18" i="132" s="1"/>
  <c r="F980" i="3"/>
  <c r="F979" i="3"/>
  <c r="P61" i="140" s="1"/>
  <c r="F978" i="3"/>
  <c r="F985" i="3" s="1"/>
  <c r="F977" i="3"/>
  <c r="F61" i="140" s="1"/>
  <c r="F976" i="3"/>
  <c r="F974" i="3"/>
  <c r="F973" i="3"/>
  <c r="F972" i="3"/>
  <c r="F971" i="3"/>
  <c r="F16" i="132" s="1"/>
  <c r="F970" i="3"/>
  <c r="F968" i="3"/>
  <c r="F967" i="3"/>
  <c r="F966" i="3"/>
  <c r="F965" i="3"/>
  <c r="F964" i="3"/>
  <c r="N95" i="140" s="1"/>
  <c r="F962" i="3"/>
  <c r="F961" i="3"/>
  <c r="F960" i="3"/>
  <c r="F959" i="3"/>
  <c r="F957" i="3"/>
  <c r="F956" i="3"/>
  <c r="F955" i="3"/>
  <c r="F954" i="3"/>
  <c r="F952" i="3"/>
  <c r="F951" i="3"/>
  <c r="F950" i="3"/>
  <c r="F949" i="3"/>
  <c r="F947" i="3"/>
  <c r="F946" i="3"/>
  <c r="F945" i="3"/>
  <c r="F944" i="3"/>
  <c r="F943" i="3"/>
  <c r="F942" i="3"/>
  <c r="F941" i="3"/>
  <c r="F940" i="3"/>
  <c r="F936" i="3"/>
  <c r="F935" i="3"/>
  <c r="F932" i="3"/>
  <c r="F930" i="3"/>
  <c r="F929" i="3"/>
  <c r="F928" i="3"/>
  <c r="F927" i="3"/>
  <c r="F926" i="3"/>
  <c r="F924" i="3"/>
  <c r="G60" i="140" s="1"/>
  <c r="F923" i="3"/>
  <c r="R59" i="140" s="1"/>
  <c r="F922" i="3"/>
  <c r="G59" i="140" s="1"/>
  <c r="F921" i="3"/>
  <c r="N58" i="140" s="1"/>
  <c r="F920" i="3"/>
  <c r="F919" i="3"/>
  <c r="F918" i="3"/>
  <c r="F917" i="3"/>
  <c r="F916" i="3"/>
  <c r="F913" i="3"/>
  <c r="F912" i="3"/>
  <c r="F911" i="3"/>
  <c r="F908" i="3"/>
  <c r="F907" i="3"/>
  <c r="F906" i="3"/>
  <c r="D23" i="146" s="1"/>
  <c r="F902" i="3"/>
  <c r="F901" i="3"/>
  <c r="F900" i="3"/>
  <c r="F899" i="3"/>
  <c r="F898" i="3"/>
  <c r="F897" i="3"/>
  <c r="F894" i="3"/>
  <c r="F893" i="3"/>
  <c r="F895" i="3" s="1"/>
  <c r="F892" i="3"/>
  <c r="F891" i="3"/>
  <c r="F890" i="3"/>
  <c r="F889" i="3"/>
  <c r="F888" i="3"/>
  <c r="F887" i="3"/>
  <c r="F886" i="3"/>
  <c r="I92" i="140" s="1"/>
  <c r="I66" i="140" s="1"/>
  <c r="F885" i="3"/>
  <c r="F884" i="3"/>
  <c r="F877" i="3"/>
  <c r="F876" i="3"/>
  <c r="F872" i="3"/>
  <c r="F871" i="3"/>
  <c r="F870" i="3"/>
  <c r="F868" i="3"/>
  <c r="F867" i="3"/>
  <c r="F866" i="3"/>
  <c r="F865" i="3"/>
  <c r="F864" i="3"/>
  <c r="F863" i="3"/>
  <c r="F858" i="3"/>
  <c r="F857" i="3"/>
  <c r="F859" i="3" s="1"/>
  <c r="F856" i="3"/>
  <c r="F854" i="3"/>
  <c r="F853" i="3"/>
  <c r="F852" i="3"/>
  <c r="F855" i="3" s="1"/>
  <c r="F851" i="3"/>
  <c r="F850" i="3"/>
  <c r="F849" i="3"/>
  <c r="F844" i="3"/>
  <c r="F843" i="3"/>
  <c r="F842" i="3"/>
  <c r="I46" i="145" s="1"/>
  <c r="F840" i="3"/>
  <c r="F839" i="3"/>
  <c r="F836" i="3"/>
  <c r="F835" i="3"/>
  <c r="F834" i="3"/>
  <c r="F833" i="3"/>
  <c r="F832" i="3"/>
  <c r="F831" i="3"/>
  <c r="F830" i="3"/>
  <c r="F829" i="3"/>
  <c r="F826" i="3"/>
  <c r="F825" i="3"/>
  <c r="F824" i="3"/>
  <c r="F823" i="3"/>
  <c r="F822" i="3"/>
  <c r="F821" i="3"/>
  <c r="F820" i="3"/>
  <c r="F819" i="3"/>
  <c r="F816" i="3"/>
  <c r="F815" i="3"/>
  <c r="F814" i="3"/>
  <c r="F813" i="3"/>
  <c r="F812" i="3"/>
  <c r="F811" i="3"/>
  <c r="F810" i="3"/>
  <c r="F809" i="3"/>
  <c r="F806" i="3"/>
  <c r="F805" i="3"/>
  <c r="F804" i="3"/>
  <c r="F803" i="3"/>
  <c r="F802" i="3"/>
  <c r="F801" i="3"/>
  <c r="F800" i="3"/>
  <c r="F799" i="3"/>
  <c r="F796" i="3"/>
  <c r="F795" i="3"/>
  <c r="F794" i="3"/>
  <c r="F793" i="3"/>
  <c r="F792" i="3"/>
  <c r="F791" i="3"/>
  <c r="F790" i="3"/>
  <c r="F789" i="3"/>
  <c r="F785" i="3"/>
  <c r="E23" i="140" s="1"/>
  <c r="F784" i="3"/>
  <c r="J54" i="153" s="1"/>
  <c r="F783" i="3"/>
  <c r="E21" i="140" s="1"/>
  <c r="F782" i="3"/>
  <c r="E20" i="140" s="1"/>
  <c r="F781" i="3"/>
  <c r="AB57" i="153" s="1"/>
  <c r="F780" i="3"/>
  <c r="W57" i="153" s="1"/>
  <c r="F779" i="3"/>
  <c r="F787" i="3" s="1"/>
  <c r="F778" i="3"/>
  <c r="F775" i="3"/>
  <c r="F774" i="3"/>
  <c r="F773" i="3"/>
  <c r="F772" i="3"/>
  <c r="F771" i="3"/>
  <c r="F770" i="3"/>
  <c r="F769" i="3"/>
  <c r="F768" i="3"/>
  <c r="F767" i="3"/>
  <c r="F766" i="3"/>
  <c r="F765" i="3"/>
  <c r="F764" i="3"/>
  <c r="F763" i="3"/>
  <c r="F762" i="3"/>
  <c r="F759" i="3"/>
  <c r="F758" i="3"/>
  <c r="F757" i="3"/>
  <c r="F756" i="3"/>
  <c r="F755" i="3"/>
  <c r="F754" i="3"/>
  <c r="F753" i="3"/>
  <c r="F752" i="3"/>
  <c r="F751" i="3"/>
  <c r="F750" i="3"/>
  <c r="F749" i="3"/>
  <c r="F748" i="3"/>
  <c r="F747" i="3"/>
  <c r="F746" i="3"/>
  <c r="F743" i="3"/>
  <c r="F742" i="3"/>
  <c r="F741" i="3"/>
  <c r="F740" i="3"/>
  <c r="F739" i="3"/>
  <c r="F738" i="3"/>
  <c r="F737" i="3"/>
  <c r="F736" i="3"/>
  <c r="F735" i="3"/>
  <c r="F734" i="3"/>
  <c r="F733" i="3"/>
  <c r="F732" i="3"/>
  <c r="F731" i="3"/>
  <c r="F730" i="3"/>
  <c r="F727" i="3"/>
  <c r="F726" i="3"/>
  <c r="F725" i="3"/>
  <c r="F724" i="3"/>
  <c r="F723" i="3"/>
  <c r="F722" i="3"/>
  <c r="F721" i="3"/>
  <c r="F720" i="3"/>
  <c r="F719" i="3"/>
  <c r="F718" i="3"/>
  <c r="F717" i="3"/>
  <c r="F716" i="3"/>
  <c r="F715" i="3"/>
  <c r="F714" i="3"/>
  <c r="F711" i="3"/>
  <c r="F710" i="3"/>
  <c r="F709" i="3"/>
  <c r="F708" i="3"/>
  <c r="F707" i="3"/>
  <c r="F706" i="3"/>
  <c r="F705" i="3"/>
  <c r="F704" i="3"/>
  <c r="F703" i="3"/>
  <c r="F702" i="3"/>
  <c r="F701" i="3"/>
  <c r="F700" i="3"/>
  <c r="F699" i="3"/>
  <c r="F698" i="3"/>
  <c r="F695" i="3"/>
  <c r="F694" i="3"/>
  <c r="F693" i="3"/>
  <c r="F692" i="3"/>
  <c r="F691" i="3"/>
  <c r="F690" i="3"/>
  <c r="F689" i="3"/>
  <c r="F688" i="3"/>
  <c r="F687" i="3"/>
  <c r="F686" i="3"/>
  <c r="F685" i="3"/>
  <c r="F684" i="3"/>
  <c r="F683" i="3"/>
  <c r="F682" i="3"/>
  <c r="F679" i="3"/>
  <c r="F678" i="3"/>
  <c r="F677" i="3"/>
  <c r="F676" i="3"/>
  <c r="F675" i="3"/>
  <c r="F674" i="3"/>
  <c r="F673" i="3"/>
  <c r="F672" i="3"/>
  <c r="F671" i="3"/>
  <c r="F670" i="3"/>
  <c r="F669" i="3"/>
  <c r="F668" i="3"/>
  <c r="F667" i="3"/>
  <c r="F666" i="3"/>
  <c r="F663" i="3"/>
  <c r="F662" i="3"/>
  <c r="F661" i="3"/>
  <c r="F660" i="3"/>
  <c r="F659" i="3"/>
  <c r="F658" i="3"/>
  <c r="F657" i="3"/>
  <c r="F656" i="3"/>
  <c r="F655" i="3"/>
  <c r="F654" i="3"/>
  <c r="F653" i="3"/>
  <c r="F652" i="3"/>
  <c r="F651" i="3"/>
  <c r="F650" i="3"/>
  <c r="F647" i="3"/>
  <c r="F646" i="3"/>
  <c r="F645" i="3"/>
  <c r="F644" i="3"/>
  <c r="F643" i="3"/>
  <c r="F642" i="3"/>
  <c r="F641" i="3"/>
  <c r="F640" i="3"/>
  <c r="F639" i="3"/>
  <c r="F638" i="3"/>
  <c r="F637" i="3"/>
  <c r="F636" i="3"/>
  <c r="F635" i="3"/>
  <c r="F634" i="3"/>
  <c r="F631" i="3"/>
  <c r="F630" i="3"/>
  <c r="F629" i="3"/>
  <c r="F628" i="3"/>
  <c r="F627" i="3"/>
  <c r="F626" i="3"/>
  <c r="F625" i="3"/>
  <c r="F624" i="3"/>
  <c r="F623" i="3"/>
  <c r="F622" i="3"/>
  <c r="F621" i="3"/>
  <c r="F620" i="3"/>
  <c r="F619" i="3"/>
  <c r="F618" i="3"/>
  <c r="F615" i="3"/>
  <c r="F614" i="3"/>
  <c r="F613" i="3"/>
  <c r="F612" i="3"/>
  <c r="F611" i="3"/>
  <c r="F610" i="3"/>
  <c r="F609" i="3"/>
  <c r="F608" i="3"/>
  <c r="F607" i="3"/>
  <c r="F606" i="3"/>
  <c r="F605" i="3"/>
  <c r="F604" i="3"/>
  <c r="F603" i="3"/>
  <c r="F602" i="3"/>
  <c r="F599" i="3"/>
  <c r="Q46" i="153" s="1"/>
  <c r="F597" i="3"/>
  <c r="E30" i="140" s="1"/>
  <c r="F596" i="3"/>
  <c r="E29" i="140" s="1"/>
  <c r="F595" i="3"/>
  <c r="F594" i="3"/>
  <c r="F593" i="3"/>
  <c r="F592" i="3"/>
  <c r="AC45" i="153" s="1"/>
  <c r="F591" i="3"/>
  <c r="W45" i="153" s="1"/>
  <c r="F590" i="3"/>
  <c r="X44" i="153" s="1"/>
  <c r="F589" i="3"/>
  <c r="F588" i="3"/>
  <c r="L43" i="153" s="1"/>
  <c r="F587" i="3"/>
  <c r="AC43" i="153" s="1"/>
  <c r="F586" i="3"/>
  <c r="X43" i="153" s="1"/>
  <c r="F585" i="3"/>
  <c r="J31" i="145" s="1"/>
  <c r="F584" i="3"/>
  <c r="F581" i="3"/>
  <c r="F580" i="3"/>
  <c r="F579" i="3"/>
  <c r="F578" i="3"/>
  <c r="F577" i="3"/>
  <c r="F576" i="3"/>
  <c r="F575" i="3"/>
  <c r="F573" i="3"/>
  <c r="F572" i="3"/>
  <c r="F571" i="3"/>
  <c r="F570" i="3"/>
  <c r="F569" i="3"/>
  <c r="F568" i="3"/>
  <c r="F567" i="3"/>
  <c r="F564" i="3"/>
  <c r="F563" i="3"/>
  <c r="F562" i="3"/>
  <c r="F561" i="3"/>
  <c r="F560" i="3"/>
  <c r="F559" i="3"/>
  <c r="F558" i="3"/>
  <c r="F555" i="3"/>
  <c r="F554" i="3"/>
  <c r="F553" i="3"/>
  <c r="F552" i="3"/>
  <c r="F551" i="3"/>
  <c r="F550" i="3"/>
  <c r="F549" i="3"/>
  <c r="F546" i="3"/>
  <c r="F545" i="3"/>
  <c r="F544" i="3"/>
  <c r="F543" i="3"/>
  <c r="F542" i="3"/>
  <c r="F541" i="3"/>
  <c r="F540" i="3"/>
  <c r="F536" i="3"/>
  <c r="F535" i="3"/>
  <c r="F534" i="3"/>
  <c r="F533" i="3"/>
  <c r="F532" i="3"/>
  <c r="F531" i="3"/>
  <c r="F530" i="3"/>
  <c r="F529" i="3"/>
  <c r="F528" i="3"/>
  <c r="F527" i="3"/>
  <c r="F524" i="3"/>
  <c r="F523" i="3"/>
  <c r="F522" i="3"/>
  <c r="F521" i="3"/>
  <c r="F520" i="3"/>
  <c r="F519" i="3"/>
  <c r="F518" i="3"/>
  <c r="F517" i="3"/>
  <c r="F516" i="3"/>
  <c r="F515" i="3"/>
  <c r="F512" i="3"/>
  <c r="F511" i="3"/>
  <c r="F510" i="3"/>
  <c r="F509" i="3"/>
  <c r="F508" i="3"/>
  <c r="F507" i="3"/>
  <c r="F506" i="3"/>
  <c r="F505" i="3"/>
  <c r="F504" i="3"/>
  <c r="F503" i="3"/>
  <c r="F500" i="3"/>
  <c r="F499" i="3"/>
  <c r="F498" i="3"/>
  <c r="F497" i="3"/>
  <c r="F496" i="3"/>
  <c r="F495" i="3"/>
  <c r="F494" i="3"/>
  <c r="F493" i="3"/>
  <c r="F492" i="3"/>
  <c r="F491" i="3"/>
  <c r="F487" i="3"/>
  <c r="F486" i="3"/>
  <c r="F485" i="3"/>
  <c r="F484" i="3"/>
  <c r="F483" i="3"/>
  <c r="F482" i="3"/>
  <c r="F481" i="3"/>
  <c r="F480" i="3"/>
  <c r="F479" i="3"/>
  <c r="F478" i="3"/>
  <c r="F477" i="3"/>
  <c r="F476" i="3"/>
  <c r="F475" i="3"/>
  <c r="F474" i="3"/>
  <c r="F473" i="3"/>
  <c r="F470" i="3"/>
  <c r="F469" i="3"/>
  <c r="F468" i="3"/>
  <c r="F467" i="3"/>
  <c r="F466" i="3"/>
  <c r="F465" i="3"/>
  <c r="F464" i="3"/>
  <c r="F463" i="3"/>
  <c r="F462" i="3"/>
  <c r="F461" i="3"/>
  <c r="F460" i="3"/>
  <c r="F459" i="3"/>
  <c r="F458" i="3"/>
  <c r="F457" i="3"/>
  <c r="F456" i="3"/>
  <c r="F453" i="3"/>
  <c r="F452" i="3"/>
  <c r="F451" i="3"/>
  <c r="F450" i="3"/>
  <c r="F449" i="3"/>
  <c r="F448" i="3"/>
  <c r="F447" i="3"/>
  <c r="F446" i="3"/>
  <c r="F445" i="3"/>
  <c r="F444" i="3"/>
  <c r="F443" i="3"/>
  <c r="F442" i="3"/>
  <c r="F441" i="3"/>
  <c r="F440" i="3"/>
  <c r="F439" i="3"/>
  <c r="F436" i="3"/>
  <c r="F435" i="3"/>
  <c r="F434" i="3"/>
  <c r="F433" i="3"/>
  <c r="F432" i="3"/>
  <c r="F431" i="3"/>
  <c r="F430" i="3"/>
  <c r="F429" i="3"/>
  <c r="F428" i="3"/>
  <c r="F427" i="3"/>
  <c r="F426" i="3"/>
  <c r="F425" i="3"/>
  <c r="F424" i="3"/>
  <c r="F423" i="3"/>
  <c r="F422" i="3"/>
  <c r="F419" i="3"/>
  <c r="F418" i="3"/>
  <c r="F417" i="3"/>
  <c r="F416" i="3"/>
  <c r="F415" i="3"/>
  <c r="F414" i="3"/>
  <c r="F413" i="3"/>
  <c r="F412" i="3"/>
  <c r="F411" i="3"/>
  <c r="F410" i="3"/>
  <c r="F409" i="3"/>
  <c r="F408" i="3"/>
  <c r="F407" i="3"/>
  <c r="F406" i="3"/>
  <c r="F405" i="3"/>
  <c r="F402" i="3"/>
  <c r="F401" i="3"/>
  <c r="F400" i="3"/>
  <c r="F399" i="3"/>
  <c r="F398" i="3"/>
  <c r="F397" i="3"/>
  <c r="F396" i="3"/>
  <c r="F395" i="3"/>
  <c r="F394" i="3"/>
  <c r="F393" i="3"/>
  <c r="F392" i="3"/>
  <c r="F391" i="3"/>
  <c r="F390" i="3"/>
  <c r="F389" i="3"/>
  <c r="F388" i="3"/>
  <c r="F385" i="3"/>
  <c r="F384" i="3"/>
  <c r="F383" i="3"/>
  <c r="F382" i="3"/>
  <c r="F381" i="3"/>
  <c r="F380" i="3"/>
  <c r="F379" i="3"/>
  <c r="F378" i="3"/>
  <c r="F377" i="3"/>
  <c r="F376" i="3"/>
  <c r="F375" i="3"/>
  <c r="F374" i="3"/>
  <c r="F373" i="3"/>
  <c r="F372" i="3"/>
  <c r="F371" i="3"/>
  <c r="F368" i="3"/>
  <c r="F367" i="3"/>
  <c r="F366" i="3"/>
  <c r="F365" i="3"/>
  <c r="F364" i="3"/>
  <c r="F363" i="3"/>
  <c r="F362" i="3"/>
  <c r="F361" i="3"/>
  <c r="F360" i="3"/>
  <c r="F359" i="3"/>
  <c r="F358" i="3"/>
  <c r="F357" i="3"/>
  <c r="F356" i="3"/>
  <c r="F355" i="3"/>
  <c r="F354" i="3"/>
  <c r="F351" i="3"/>
  <c r="F350" i="3"/>
  <c r="F349" i="3"/>
  <c r="F348" i="3"/>
  <c r="F347" i="3"/>
  <c r="F346" i="3"/>
  <c r="F345" i="3"/>
  <c r="F344" i="3"/>
  <c r="F343" i="3"/>
  <c r="F342" i="3"/>
  <c r="F341" i="3"/>
  <c r="F340" i="3"/>
  <c r="F339" i="3"/>
  <c r="F338" i="3"/>
  <c r="F337" i="3"/>
  <c r="F334" i="3"/>
  <c r="F333" i="3"/>
  <c r="F332" i="3"/>
  <c r="F331" i="3"/>
  <c r="F330" i="3"/>
  <c r="F329" i="3"/>
  <c r="F328" i="3"/>
  <c r="F327" i="3"/>
  <c r="F326" i="3"/>
  <c r="F325" i="3"/>
  <c r="F324" i="3"/>
  <c r="F323" i="3"/>
  <c r="F322" i="3"/>
  <c r="F321" i="3"/>
  <c r="F320" i="3"/>
  <c r="F317" i="3"/>
  <c r="F316" i="3"/>
  <c r="F315" i="3"/>
  <c r="F314" i="3"/>
  <c r="F313" i="3"/>
  <c r="F312" i="3"/>
  <c r="F311" i="3"/>
  <c r="F310" i="3"/>
  <c r="F309" i="3"/>
  <c r="F308" i="3"/>
  <c r="F307" i="3"/>
  <c r="F306" i="3"/>
  <c r="F305" i="3"/>
  <c r="F304" i="3"/>
  <c r="F303" i="3"/>
  <c r="F300" i="3"/>
  <c r="F299" i="3"/>
  <c r="F298" i="3"/>
  <c r="F297" i="3"/>
  <c r="F296" i="3"/>
  <c r="F295" i="3"/>
  <c r="F294" i="3"/>
  <c r="F293" i="3"/>
  <c r="F292" i="3"/>
  <c r="F291" i="3"/>
  <c r="F290" i="3"/>
  <c r="F289" i="3"/>
  <c r="F288" i="3"/>
  <c r="F287" i="3"/>
  <c r="F286" i="3"/>
  <c r="F283" i="3"/>
  <c r="F282" i="3"/>
  <c r="F281" i="3"/>
  <c r="F280" i="3"/>
  <c r="F279" i="3"/>
  <c r="F278" i="3"/>
  <c r="F277" i="3"/>
  <c r="F276" i="3"/>
  <c r="F275" i="3"/>
  <c r="F274" i="3"/>
  <c r="F273" i="3"/>
  <c r="F272" i="3"/>
  <c r="F271" i="3"/>
  <c r="F270" i="3"/>
  <c r="F269" i="3"/>
  <c r="F268" i="3"/>
  <c r="F265" i="3"/>
  <c r="F264" i="3"/>
  <c r="F263" i="3"/>
  <c r="F262" i="3"/>
  <c r="F261" i="3"/>
  <c r="F260" i="3"/>
  <c r="F259" i="3"/>
  <c r="F258" i="3"/>
  <c r="F257" i="3"/>
  <c r="F256" i="3"/>
  <c r="F255" i="3"/>
  <c r="F254" i="3"/>
  <c r="F253" i="3"/>
  <c r="F252" i="3"/>
  <c r="F251" i="3"/>
  <c r="F250" i="3"/>
  <c r="F247" i="3"/>
  <c r="F246" i="3"/>
  <c r="F245" i="3"/>
  <c r="F244" i="3"/>
  <c r="F243" i="3"/>
  <c r="F242" i="3"/>
  <c r="F241" i="3"/>
  <c r="F240" i="3"/>
  <c r="F239" i="3"/>
  <c r="F238" i="3"/>
  <c r="F237" i="3"/>
  <c r="F236" i="3"/>
  <c r="F235" i="3"/>
  <c r="F234" i="3"/>
  <c r="F233" i="3"/>
  <c r="F232" i="3"/>
  <c r="F229" i="3"/>
  <c r="F228" i="3"/>
  <c r="F227" i="3"/>
  <c r="F226" i="3"/>
  <c r="F225" i="3"/>
  <c r="F224" i="3"/>
  <c r="F223" i="3"/>
  <c r="F222" i="3"/>
  <c r="F221" i="3"/>
  <c r="F220" i="3"/>
  <c r="F219" i="3"/>
  <c r="F218" i="3"/>
  <c r="F217" i="3"/>
  <c r="F216" i="3"/>
  <c r="F215" i="3"/>
  <c r="F214" i="3"/>
  <c r="F210" i="3"/>
  <c r="F209" i="3"/>
  <c r="F208" i="3"/>
  <c r="N35" i="153" s="1"/>
  <c r="F207" i="3"/>
  <c r="F8" i="132" s="1"/>
  <c r="F206" i="3"/>
  <c r="F7" i="132" s="1"/>
  <c r="F205" i="3"/>
  <c r="F204" i="3"/>
  <c r="F211" i="3" s="1"/>
  <c r="F203" i="3"/>
  <c r="AC35" i="153" s="1"/>
  <c r="F202" i="3"/>
  <c r="W35" i="153" s="1"/>
  <c r="F201" i="3"/>
  <c r="X34" i="153" s="1"/>
  <c r="F200" i="3"/>
  <c r="F199" i="3"/>
  <c r="F198" i="3"/>
  <c r="L33" i="153" s="1"/>
  <c r="F197" i="3"/>
  <c r="F196" i="3"/>
  <c r="AC33" i="153" s="1"/>
  <c r="F195" i="3"/>
  <c r="X33" i="153" s="1"/>
  <c r="F194" i="3"/>
  <c r="Q5" i="132" s="1"/>
  <c r="F193" i="3"/>
  <c r="F190" i="3"/>
  <c r="F189" i="3"/>
  <c r="F188" i="3"/>
  <c r="F187" i="3"/>
  <c r="F186" i="3"/>
  <c r="F185" i="3"/>
  <c r="F184" i="3"/>
  <c r="F183" i="3"/>
  <c r="F182" i="3"/>
  <c r="F179" i="3"/>
  <c r="F178" i="3"/>
  <c r="F177" i="3"/>
  <c r="F176" i="3"/>
  <c r="F175" i="3"/>
  <c r="F174" i="3"/>
  <c r="F173" i="3"/>
  <c r="F172" i="3"/>
  <c r="F171" i="3"/>
  <c r="F168" i="3"/>
  <c r="F167" i="3"/>
  <c r="F166" i="3"/>
  <c r="F157" i="3" s="1"/>
  <c r="F165" i="3"/>
  <c r="F164" i="3"/>
  <c r="F163" i="3"/>
  <c r="F162" i="3"/>
  <c r="F161" i="3"/>
  <c r="F160" i="3"/>
  <c r="F156" i="3"/>
  <c r="F155" i="3"/>
  <c r="F154" i="3"/>
  <c r="F153" i="3"/>
  <c r="F152" i="3"/>
  <c r="F151" i="3"/>
  <c r="F150" i="3"/>
  <c r="F149" i="3"/>
  <c r="F148" i="3"/>
  <c r="F144" i="3"/>
  <c r="F143" i="3"/>
  <c r="F142" i="3"/>
  <c r="F141" i="3"/>
  <c r="F140" i="3"/>
  <c r="F145" i="3" s="1"/>
  <c r="F139" i="3"/>
  <c r="F138" i="3"/>
  <c r="F137" i="3"/>
  <c r="F136" i="3"/>
  <c r="F132" i="3"/>
  <c r="F131" i="3"/>
  <c r="F130" i="3"/>
  <c r="F129" i="3"/>
  <c r="F128" i="3"/>
  <c r="F133" i="3" s="1"/>
  <c r="F127" i="3"/>
  <c r="F126" i="3"/>
  <c r="F125" i="3"/>
  <c r="F124" i="3"/>
  <c r="F121" i="3"/>
  <c r="F120" i="3"/>
  <c r="F119" i="3"/>
  <c r="F118" i="3"/>
  <c r="F117" i="3"/>
  <c r="F116" i="3"/>
  <c r="F115" i="3"/>
  <c r="F114" i="3"/>
  <c r="F113" i="3"/>
  <c r="F112" i="3"/>
  <c r="F111" i="3"/>
  <c r="F108" i="3"/>
  <c r="F107" i="3"/>
  <c r="F106" i="3"/>
  <c r="F105" i="3"/>
  <c r="F104" i="3"/>
  <c r="F103" i="3"/>
  <c r="F102" i="3"/>
  <c r="F101" i="3"/>
  <c r="F100" i="3"/>
  <c r="F99" i="3"/>
  <c r="F98" i="3"/>
  <c r="F97" i="3"/>
  <c r="F94" i="3"/>
  <c r="F90" i="3"/>
  <c r="F91" i="3" s="1"/>
  <c r="F87" i="3"/>
  <c r="F88" i="3" s="1"/>
  <c r="Y26" i="153" s="1"/>
  <c r="F86" i="3"/>
  <c r="N17" i="146" s="1"/>
  <c r="F85" i="3"/>
  <c r="F84" i="3"/>
  <c r="O13" i="145" s="1"/>
  <c r="F82" i="3"/>
  <c r="F81" i="3"/>
  <c r="F80" i="3"/>
  <c r="N16" i="145" s="1"/>
  <c r="F79" i="3"/>
  <c r="F78" i="3"/>
  <c r="F77" i="3"/>
  <c r="F83" i="3" s="1"/>
  <c r="F76" i="3"/>
  <c r="F93" i="3" s="1"/>
  <c r="F73" i="3"/>
  <c r="F70" i="3"/>
  <c r="F63" i="3"/>
  <c r="F62" i="3"/>
  <c r="F61" i="3"/>
  <c r="F60" i="3"/>
  <c r="F58" i="3"/>
  <c r="Y8" i="140" s="1"/>
  <c r="F56" i="3"/>
  <c r="F55" i="3"/>
  <c r="F54" i="3"/>
  <c r="F53" i="3"/>
  <c r="F50" i="3"/>
  <c r="I34" i="140" s="1"/>
  <c r="F48" i="3"/>
  <c r="N33" i="140" s="1"/>
  <c r="F46" i="3"/>
  <c r="F45" i="3"/>
  <c r="F44" i="3"/>
  <c r="J32" i="140" s="1"/>
  <c r="F42" i="3"/>
  <c r="F40" i="3"/>
  <c r="F38" i="3"/>
  <c r="L24" i="151" s="1"/>
  <c r="F35" i="3"/>
  <c r="F34" i="3"/>
  <c r="F26" i="3"/>
  <c r="F1239" i="3" s="1"/>
  <c r="F22" i="3"/>
  <c r="F21" i="3"/>
  <c r="F20" i="3"/>
  <c r="F19" i="3"/>
  <c r="F67" i="3" s="1"/>
  <c r="F18" i="3"/>
  <c r="F17" i="3"/>
  <c r="F16" i="3"/>
  <c r="F15" i="3"/>
  <c r="F14" i="3"/>
  <c r="F13" i="3"/>
  <c r="F12" i="3"/>
  <c r="F11" i="3"/>
  <c r="F9" i="3"/>
  <c r="F7" i="3"/>
  <c r="D31" i="1"/>
  <c r="D12" i="1"/>
  <c r="B12" i="1" s="1"/>
  <c r="D11" i="1"/>
  <c r="B11" i="1" s="1"/>
  <c r="N2" i="1"/>
  <c r="L2" i="1"/>
  <c r="K2" i="1"/>
  <c r="J2" i="1"/>
  <c r="I2" i="1"/>
  <c r="H2" i="1"/>
  <c r="G2" i="1"/>
  <c r="F27" i="3" l="1"/>
  <c r="F1261" i="3" s="1"/>
  <c r="F31" i="3"/>
  <c r="F32" i="132"/>
  <c r="E12" i="140"/>
  <c r="F1204" i="3"/>
  <c r="F1240" i="3"/>
  <c r="F1252" i="3"/>
  <c r="E22" i="140"/>
  <c r="Q46" i="140"/>
  <c r="F4" i="132"/>
  <c r="F15" i="132"/>
  <c r="N17" i="145"/>
  <c r="J32" i="145"/>
  <c r="Z58" i="145"/>
  <c r="Z60" i="145"/>
  <c r="L19" i="147"/>
  <c r="N44" i="153"/>
  <c r="N14" i="151"/>
  <c r="M2" i="1"/>
  <c r="E32" i="1" s="1"/>
  <c r="D32" i="1" s="1"/>
  <c r="B32" i="1" s="1"/>
  <c r="E14" i="1"/>
  <c r="D14" i="1" s="1"/>
  <c r="B14" i="1" s="1"/>
  <c r="F32" i="3"/>
  <c r="F786" i="3"/>
  <c r="N57" i="153" s="1"/>
  <c r="F1206" i="3"/>
  <c r="F1241" i="3"/>
  <c r="F1253" i="3"/>
  <c r="J33" i="140"/>
  <c r="E5" i="132"/>
  <c r="N17" i="141"/>
  <c r="N17" i="143"/>
  <c r="Q32" i="145"/>
  <c r="AB58" i="145"/>
  <c r="AB60" i="145"/>
  <c r="C26" i="147"/>
  <c r="O31" i="153"/>
  <c r="N17" i="151"/>
  <c r="E11" i="1"/>
  <c r="E25" i="1"/>
  <c r="D25" i="1" s="1"/>
  <c r="B25" i="1" s="1"/>
  <c r="F92" i="3"/>
  <c r="F1242" i="3"/>
  <c r="F1254" i="3"/>
  <c r="E14" i="140"/>
  <c r="E25" i="140"/>
  <c r="L33" i="140"/>
  <c r="I5" i="132"/>
  <c r="F17" i="132"/>
  <c r="F33" i="132"/>
  <c r="X32" i="145"/>
  <c r="X32" i="153"/>
  <c r="D23" i="151"/>
  <c r="E23" i="1"/>
  <c r="D23" i="1" s="1"/>
  <c r="B23" i="1" s="1"/>
  <c r="E19" i="1"/>
  <c r="D19" i="1" s="1"/>
  <c r="B19" i="1" s="1"/>
  <c r="E27" i="1"/>
  <c r="D27" i="1" s="1"/>
  <c r="B27" i="1" s="1"/>
  <c r="E12" i="1"/>
  <c r="E20" i="1"/>
  <c r="D20" i="1" s="1"/>
  <c r="B20" i="1" s="1"/>
  <c r="E28" i="1"/>
  <c r="D28" i="1" s="1"/>
  <c r="B28" i="1" s="1"/>
  <c r="F1196" i="3"/>
  <c r="F1255" i="3"/>
  <c r="E15" i="140"/>
  <c r="E27" i="140"/>
  <c r="M5" i="132"/>
  <c r="I17" i="132"/>
  <c r="F34" i="132"/>
  <c r="D20" i="141"/>
  <c r="D20" i="143"/>
  <c r="J28" i="145"/>
  <c r="X61" i="145"/>
  <c r="T13" i="148"/>
  <c r="O41" i="153"/>
  <c r="F1199" i="3"/>
  <c r="F1256" i="3"/>
  <c r="E16" i="140"/>
  <c r="L17" i="132"/>
  <c r="J29" i="145"/>
  <c r="D21" i="145" s="1"/>
  <c r="I49" i="145"/>
  <c r="T17" i="148"/>
  <c r="R8" i="153"/>
  <c r="X42" i="153"/>
  <c r="N11" i="152"/>
  <c r="E10" i="1"/>
  <c r="D10" i="1" s="1"/>
  <c r="B10" i="1" s="1"/>
  <c r="E18" i="1"/>
  <c r="D18" i="1" s="1"/>
  <c r="B18" i="1" s="1"/>
  <c r="E26" i="1"/>
  <c r="D26" i="1" s="1"/>
  <c r="B26" i="1" s="1"/>
  <c r="E29" i="1"/>
  <c r="D29" i="1" s="1"/>
  <c r="F28" i="3"/>
  <c r="F65" i="3"/>
  <c r="F598" i="3"/>
  <c r="N45" i="153" s="1"/>
  <c r="U8" i="140"/>
  <c r="G55" i="140"/>
  <c r="F6" i="132"/>
  <c r="L24" i="148"/>
  <c r="R11" i="153"/>
  <c r="N14" i="152"/>
  <c r="N14" i="146"/>
  <c r="E15" i="1"/>
  <c r="D15" i="1" s="1"/>
  <c r="B15" i="1" s="1"/>
  <c r="E13" i="1"/>
  <c r="D13" i="1" s="1"/>
  <c r="B13" i="1" s="1"/>
  <c r="E21" i="1"/>
  <c r="D21" i="1" s="1"/>
  <c r="B21" i="1" s="1"/>
  <c r="F29" i="3"/>
  <c r="F1202" i="3"/>
  <c r="F1238" i="3"/>
  <c r="F1301" i="3"/>
  <c r="W8" i="140"/>
  <c r="M46" i="140"/>
  <c r="N13" i="141"/>
  <c r="N13" i="143"/>
  <c r="O14" i="145"/>
  <c r="C16" i="153"/>
  <c r="J24" i="153"/>
  <c r="N34" i="153"/>
  <c r="D20" i="152"/>
  <c r="E16" i="1"/>
  <c r="D16" i="1" s="1"/>
  <c r="B16" i="1" s="1"/>
  <c r="E24" i="1"/>
  <c r="D24" i="1" s="1"/>
  <c r="B24" i="1" s="1"/>
  <c r="F30" i="3"/>
  <c r="F68" i="3"/>
  <c r="F89" i="3"/>
  <c r="F1203" i="3"/>
  <c r="O46" i="140"/>
  <c r="N15" i="141"/>
  <c r="N15" i="143"/>
  <c r="X31" i="145"/>
  <c r="L30" i="148"/>
  <c r="F1246" i="3" l="1"/>
  <c r="F1248" i="3"/>
  <c r="F1249" i="3"/>
  <c r="F1263" i="3"/>
  <c r="F1262" i="3"/>
  <c r="F1259" i="3"/>
  <c r="F1260" i="3"/>
  <c r="F1247" i="3"/>
  <c r="F1245" i="3"/>
  <c r="E22" i="1"/>
  <c r="D22" i="1" s="1"/>
  <c r="B22" i="1" s="1"/>
  <c r="L18" i="153"/>
  <c r="U29" i="147"/>
  <c r="R29" i="147"/>
  <c r="T24" i="146"/>
  <c r="O29" i="147"/>
  <c r="Q24" i="146"/>
  <c r="T21" i="152"/>
  <c r="N24" i="146"/>
  <c r="Q21" i="152"/>
  <c r="R18" i="153"/>
  <c r="N21" i="152"/>
  <c r="O18" i="153"/>
  <c r="V25" i="146"/>
  <c r="Q31" i="147"/>
  <c r="R25" i="146"/>
  <c r="S22" i="152"/>
  <c r="O31" i="147"/>
  <c r="P25" i="146"/>
  <c r="O22" i="152"/>
  <c r="T20" i="153"/>
  <c r="N25" i="146"/>
  <c r="M22" i="152"/>
  <c r="P20" i="153"/>
  <c r="K22" i="152"/>
  <c r="N20" i="153"/>
  <c r="AB33" i="148"/>
  <c r="L20" i="153"/>
  <c r="X33" i="148"/>
  <c r="V33" i="148"/>
  <c r="W31" i="147"/>
  <c r="T33" i="148"/>
  <c r="S31" i="147"/>
  <c r="E30" i="1"/>
  <c r="D30" i="1" s="1"/>
  <c r="J26" i="153"/>
  <c r="L16" i="147"/>
  <c r="L27" i="148"/>
  <c r="D18" i="143"/>
  <c r="D18" i="141"/>
  <c r="F1288" i="3"/>
  <c r="F1287" i="3"/>
  <c r="F1279" i="3"/>
  <c r="F1278" i="3"/>
  <c r="F1289" i="3"/>
  <c r="F1277" i="3"/>
  <c r="F1284" i="3"/>
  <c r="F1283" i="3"/>
  <c r="F1294" i="3"/>
  <c r="F1282" i="3"/>
  <c r="F1293" i="3"/>
  <c r="F1292" i="3"/>
  <c r="F1327" i="3"/>
  <c r="F1314" i="3"/>
  <c r="F1326" i="3"/>
  <c r="F1313" i="3"/>
  <c r="F1312" i="3"/>
  <c r="F1311" i="3"/>
  <c r="F1330" i="3"/>
  <c r="F1329" i="3"/>
  <c r="F1328" i="3"/>
  <c r="F1315" i="3"/>
  <c r="E17" i="1"/>
  <c r="D17" i="1" s="1"/>
  <c r="B17" i="1" s="1"/>
  <c r="E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B647094D-6965-45F9-A059-C9C4ACD0605D}">
      <text>
        <r>
          <rPr>
            <b/>
            <sz val="9"/>
            <color indexed="81"/>
            <rFont val="ＭＳ Ｐゴシック"/>
            <family val="3"/>
            <charset val="128"/>
          </rPr>
          <t>左側のプルダウンを選択すると
自動的に区分内容が表示されます</t>
        </r>
      </text>
    </comment>
    <comment ref="R113" authorId="0" shapeId="0" xr:uid="{57BD6FAE-0905-415A-A6E6-11EC221A613A}">
      <text>
        <r>
          <rPr>
            <b/>
            <sz val="9"/>
            <color indexed="81"/>
            <rFont val="ＭＳ Ｐゴシック"/>
            <family val="3"/>
            <charset val="128"/>
          </rPr>
          <t>左側のプルダウンを選択すると
自動的に区分内容が表示されます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D16</author>
    <author>I-PEC-S5</author>
  </authors>
  <commentList>
    <comment ref="D19" authorId="0" shapeId="0" xr:uid="{C8FC8ECF-9B70-49F4-86EB-E86C3BCE9911}">
      <text>
        <r>
          <rPr>
            <b/>
            <sz val="9"/>
            <color indexed="81"/>
            <rFont val="MS P ゴシック"/>
            <family val="3"/>
            <charset val="128"/>
          </rPr>
          <t>選んで下さい</t>
        </r>
      </text>
    </comment>
    <comment ref="M53" authorId="1" shapeId="0" xr:uid="{9380E743-EDE7-4F78-963B-E75DB93BE645}">
      <text>
        <r>
          <rPr>
            <sz val="9"/>
            <color indexed="81"/>
            <rFont val="ＭＳ Ｐゴシック"/>
            <family val="3"/>
            <charset val="128"/>
          </rPr>
          <t>選んでください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I-PEC-S5</author>
  </authors>
  <commentList>
    <comment ref="L16" authorId="0" shapeId="0" xr:uid="{EE133323-715E-402E-A93F-366F22505FD9}">
      <text>
        <r>
          <rPr>
            <sz val="9"/>
            <color indexed="81"/>
            <rFont val="ＭＳ Ｐゴシック"/>
            <family val="3"/>
            <charset val="128"/>
          </rPr>
          <t xml:space="preserve">建築主の変更をする場合、ここに記入するのは元の建築主様を記入してください。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I-PEC-S5</author>
  </authors>
  <commentList>
    <comment ref="R8" authorId="0" shapeId="0" xr:uid="{D96F5087-89BA-41E4-996A-3B3C4D8C110A}">
      <text>
        <r>
          <rPr>
            <sz val="9"/>
            <color indexed="81"/>
            <rFont val="ＭＳ Ｐゴシック"/>
            <family val="3"/>
            <charset val="128"/>
          </rPr>
          <t xml:space="preserve">建築主の変更をする場合、ここに記入するのは元の建築主様を記入してください。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D16</author>
  </authors>
  <commentList>
    <comment ref="Z35" authorId="0" shapeId="0" xr:uid="{2B1270E6-D74A-4DC6-A476-9A6AF0EBDB26}">
      <text>
        <r>
          <rPr>
            <b/>
            <sz val="9"/>
            <color indexed="81"/>
            <rFont val="MS P ゴシック"/>
            <family val="3"/>
            <charset val="128"/>
          </rPr>
          <t>リストから選んで下さい</t>
        </r>
      </text>
    </comment>
    <comment ref="X36" authorId="0" shapeId="0" xr:uid="{4C4AC107-44AE-4354-82CA-3CF05955B9FD}">
      <text>
        <r>
          <rPr>
            <b/>
            <sz val="9"/>
            <color indexed="81"/>
            <rFont val="MS P ゴシック"/>
            <family val="3"/>
            <charset val="128"/>
          </rPr>
          <t>一般建設業か特定建設業の区分を選択して下さい</t>
        </r>
      </text>
    </comment>
    <comment ref="Z36" authorId="0" shapeId="0" xr:uid="{748F4F51-7C1D-4DCD-8A17-C06A18865AAD}">
      <text>
        <r>
          <rPr>
            <b/>
            <sz val="9"/>
            <color indexed="81"/>
            <rFont val="MS P ゴシック"/>
            <family val="3"/>
            <charset val="128"/>
          </rPr>
          <t>許可の年度を記入</t>
        </r>
      </text>
    </comment>
  </commentList>
</comments>
</file>

<file path=xl/sharedStrings.xml><?xml version="1.0" encoding="utf-8"?>
<sst xmlns="http://schemas.openxmlformats.org/spreadsheetml/2006/main" count="5941" uniqueCount="3247">
  <si>
    <t>シート名
※重複不可</t>
  </si>
  <si>
    <t>showsheetflag_****
  1=表示
  0=削除
 -1=非表示
 -2=シート非表示（再表示不可）</t>
  </si>
  <si>
    <t>備考</t>
  </si>
  <si>
    <t>出力処理</t>
  </si>
  <si>
    <t>出力条件</t>
  </si>
  <si>
    <t>建築工事届</t>
  </si>
  <si>
    <t>建築計画概要書(第三面)</t>
  </si>
  <si>
    <t>委任状</t>
  </si>
  <si>
    <t>届出関係</t>
  </si>
  <si>
    <t>工事監理者選定届（大阪府下）</t>
  </si>
  <si>
    <t>追加説明書（確認）</t>
  </si>
  <si>
    <t>追加説明書（中間）</t>
  </si>
  <si>
    <t>追加説明書（完了）</t>
  </si>
  <si>
    <t>dSTART</t>
  </si>
  <si>
    <t>dSHEET</t>
  </si>
  <si>
    <t>DATA</t>
  </si>
  <si>
    <t>cst_DATA</t>
  </si>
  <si>
    <t>項目リスト</t>
  </si>
  <si>
    <t>リスト</t>
  </si>
  <si>
    <t>用途の区分</t>
  </si>
  <si>
    <t>建築計画概要書_第三面</t>
  </si>
  <si>
    <t>追加説明書_確認申請</t>
  </si>
  <si>
    <t>追加説明書_中間検査</t>
  </si>
  <si>
    <t>追加説明書_完了検査</t>
  </si>
  <si>
    <t>追加様式</t>
  </si>
  <si>
    <t>監理者選任_大阪府下のみ</t>
  </si>
  <si>
    <t>軽微な変更</t>
  </si>
  <si>
    <t>誤記訂正届</t>
  </si>
  <si>
    <t>建築主等変更</t>
  </si>
  <si>
    <t>別紙</t>
  </si>
  <si>
    <t>選定届</t>
  </si>
  <si>
    <t>確認取り下げ届_確認済証交付前</t>
  </si>
  <si>
    <t>工事取りやめ届_確認済証交付後</t>
  </si>
  <si>
    <t>非表示予定</t>
  </si>
  <si>
    <t>説明</t>
  </si>
  <si>
    <t>NoObject</t>
  </si>
  <si>
    <t>※最後にNoObjectを記述</t>
  </si>
  <si>
    <t>※このシートをアクティブにして保存すること</t>
  </si>
  <si>
    <t>日付</t>
  </si>
  <si>
    <t>変更内容</t>
  </si>
  <si>
    <t>CIASからIPECへ移行</t>
  </si>
  <si>
    <t>三木</t>
  </si>
  <si>
    <t>建築工事届、概要書三面、委任状のみ表示</t>
  </si>
  <si>
    <t>検証版利用時に追加帳票等を確認してもらう</t>
  </si>
  <si>
    <t>委任状に建築主情報を追加</t>
  </si>
  <si>
    <t>佐藤</t>
  </si>
  <si>
    <t>委任状　表示修正</t>
  </si>
  <si>
    <t>田口</t>
  </si>
  <si>
    <t>シート追加（追加説明書確認・中間・完了、追加様式、監理者選任（大阪府下のみ））</t>
  </si>
  <si>
    <t>三木香澄</t>
  </si>
  <si>
    <t>届出関係のリンク先修正、監理者選定届のリスト更新</t>
  </si>
  <si>
    <t>説明シートのスタイル修正</t>
  </si>
  <si>
    <t>届出リンク先修正</t>
  </si>
  <si>
    <t>追加説明書_完了検査　修正</t>
  </si>
  <si>
    <t>項目名</t>
  </si>
  <si>
    <t>セル名</t>
  </si>
  <si>
    <t>データ</t>
  </si>
  <si>
    <t>Customセル名</t>
  </si>
  <si>
    <t>Customデータ</t>
  </si>
  <si>
    <t>タイトル</t>
  </si>
  <si>
    <t>**_output_title</t>
  </si>
  <si>
    <t>cst__output_title</t>
  </si>
  <si>
    <t>出力シート名</t>
  </si>
  <si>
    <t>**_output_sheetname</t>
  </si>
  <si>
    <t>cst__output_sheetname</t>
  </si>
  <si>
    <t>区別</t>
  </si>
  <si>
    <t>**wsjob_TARGET_KIND__label</t>
  </si>
  <si>
    <t>建築物</t>
  </si>
  <si>
    <t>cst_wsjob_TARGET_KIND__label</t>
  </si>
  <si>
    <t>申請書セット種別</t>
  </si>
  <si>
    <t>**wsjob_JOB_SET_KIND</t>
  </si>
  <si>
    <t>cst_wsjob_JOB_SET_KIND</t>
  </si>
  <si>
    <t>0=不明な申請、100=基準法、200=適合証明、
300=性能評価</t>
  </si>
  <si>
    <t>申請対象</t>
  </si>
  <si>
    <t>**wsjob_TARGET_KIND</t>
  </si>
  <si>
    <t>cst_wsjob_TARGET_KIND</t>
  </si>
  <si>
    <t>1=建築物、
2=昇降機、3=建築設備、
4=工作物(88-1)、5=工作物(88-2)</t>
  </si>
  <si>
    <t>cst_wsjob_KENTIKUBUTU_box</t>
  </si>
  <si>
    <t>昇降機</t>
  </si>
  <si>
    <t>cst_wsjob_SYOUKOUKI_box</t>
  </si>
  <si>
    <t>昇降機以外の建築設備</t>
  </si>
  <si>
    <t>cst_wsjob_KENTIKUSETUBI_box</t>
  </si>
  <si>
    <t>工作物（88-1）</t>
  </si>
  <si>
    <t>cst_wsjob_KOUSAKUBUTU_1_box</t>
  </si>
  <si>
    <t>工作物（88-2）</t>
  </si>
  <si>
    <t>cst_wsjob_KOUSAKUBUTU_2_box</t>
  </si>
  <si>
    <t>申請書種別</t>
  </si>
  <si>
    <t>**wsjob_JOB_KIND</t>
  </si>
  <si>
    <t>cst_wsjob_JOB_KIND</t>
  </si>
  <si>
    <t>＜基準法＞
101=確認申請、102=計画変更、103=中間検査、104=完了検査
＜その他申請＞
999=その他申請</t>
  </si>
  <si>
    <t>cst_wsjob_JOB_KIND_kakunin_box</t>
  </si>
  <si>
    <t>cst_wsjob_JOB_KIND_inter_box</t>
  </si>
  <si>
    <t>cst_wsjob_JOB_KIND_final_box</t>
  </si>
  <si>
    <t>確認時の中間申請書出力処理用</t>
  </si>
  <si>
    <t>基準法の種別判定</t>
  </si>
  <si>
    <t>chk_JOB_KIND_kakunin</t>
  </si>
  <si>
    <t>1：確認（確認, 計変）,3：中間, 4：完了</t>
  </si>
  <si>
    <t>確認時 - 特定工程1の入力あり</t>
  </si>
  <si>
    <t>chk_INTER1_state_in_conf</t>
  </si>
  <si>
    <t>確認時 - 特定工程2の入力あり</t>
  </si>
  <si>
    <t>chk_INTER2_state_in_conf</t>
  </si>
  <si>
    <t>確認時 - 特定工程3の入力あり</t>
  </si>
  <si>
    <t>chk_INTER3_state_in_conf</t>
  </si>
  <si>
    <t>種別（中間時 - 特定工程別）</t>
  </si>
  <si>
    <t>chk_INTER_state_in_final</t>
  </si>
  <si>
    <t>10：確認（確認, 計変）, 30：中間_前0, 31：中間_前1, 32：中間_前2, 40：完了</t>
  </si>
  <si>
    <t>確認済証番号</t>
  </si>
  <si>
    <t>cst_ISSUE_NO_select</t>
  </si>
  <si>
    <t>確認：自分, 検査：直前 ※ 確認は受理後有効</t>
  </si>
  <si>
    <t>cst_ISSUE_DATE_select</t>
  </si>
  <si>
    <t>事前受付日</t>
  </si>
  <si>
    <t>**shinsei_PROVO_DATE</t>
  </si>
  <si>
    <t/>
  </si>
  <si>
    <t>cst_shinsei_PROVO_DATE</t>
  </si>
  <si>
    <t>事前受付番号</t>
  </si>
  <si>
    <t>**shinsei_PROVO_NO</t>
  </si>
  <si>
    <t>cst_shinsei_PROVO_NO</t>
  </si>
  <si>
    <t>受付システムテーブルから取得した情報（受理後）</t>
  </si>
  <si>
    <t>受付日</t>
  </si>
  <si>
    <t>**shinsei_ACCEPT_DATE</t>
  </si>
  <si>
    <t>cst_shinsei_ACCEPT_DATE</t>
  </si>
  <si>
    <t>引受番号</t>
  </si>
  <si>
    <t>**shinsei_UKETUKE_NO</t>
  </si>
  <si>
    <t>cst_shinsei_UKETUKE_NO</t>
  </si>
  <si>
    <t>引受日</t>
  </si>
  <si>
    <t>**shinsei_HIKIUKE_DATE</t>
  </si>
  <si>
    <t>cst_shinsei_HIKIUKE_DATE</t>
  </si>
  <si>
    <t>**shinsei_ISSUE_NO</t>
  </si>
  <si>
    <t>cst_shinsei_ISSUE_NO</t>
  </si>
  <si>
    <t>cst_shinsei_ISSUE_NO_disp</t>
  </si>
  <si>
    <t>**shinsei_KAKU_SUMI_NO</t>
  </si>
  <si>
    <t>R05確認建築IPEC70003</t>
  </si>
  <si>
    <t>cst_shinsei_KAKU_SUMI_NO</t>
  </si>
  <si>
    <t>確認済証交付日</t>
  </si>
  <si>
    <t>交付日</t>
  </si>
  <si>
    <t>**shinsei_ISSUE_DATE</t>
  </si>
  <si>
    <t>cst_shinsei_ISSUE_DATE</t>
  </si>
  <si>
    <t>確認済証交付者</t>
  </si>
  <si>
    <t>**shinsei_ISSUE_KOUFU_NAME</t>
  </si>
  <si>
    <t>cst_shinsei_ISSUE_KOUFU_NAME</t>
  </si>
  <si>
    <t>受付システム第六面</t>
  </si>
  <si>
    <t>ルート１</t>
  </si>
  <si>
    <t>**shinsei_build_p6_01_PAGE6_KOUZOU_KEISAN_KIND__005</t>
  </si>
  <si>
    <t>cst_shinsei_build_p6_01_PAGE6_KOUZOU_KEISAN_KIND__005</t>
  </si>
  <si>
    <t>ルート２</t>
  </si>
  <si>
    <t>**shinsei_build_p6_01_PAGE6_KOUZOU_KEISAN_KIND__004</t>
  </si>
  <si>
    <t>cst_shinsei_build_p6_01_PAGE6_KOUZOU_KEISAN_KIND__004</t>
  </si>
  <si>
    <t>ルート３</t>
  </si>
  <si>
    <t>**shinsei_build_p6_01_PAGE6_KOUZOU_KEISAN_KIND__002</t>
  </si>
  <si>
    <t>cst_shinsei_build_p6_01_PAGE6_KOUZOU_KEISAN_KIND__002</t>
  </si>
  <si>
    <t>提出機関先</t>
  </si>
  <si>
    <t>**wskakunin_KIKAN_NAME</t>
  </si>
  <si>
    <t>株式会社I-PEC</t>
  </si>
  <si>
    <t>cst_wskakunin_KIKAN_NAME</t>
  </si>
  <si>
    <t>申請日</t>
  </si>
  <si>
    <t>**wskakunin_SHINSEI_DATE</t>
  </si>
  <si>
    <t>cst_wskakunin_SHINSEI_DATE</t>
  </si>
  <si>
    <t>直前の確認申請情報</t>
  </si>
  <si>
    <t>**wskakunin_LAST_ISSUE_NO</t>
  </si>
  <si>
    <t>cst_wskakunin_LAST_ISSUE_NO</t>
  </si>
  <si>
    <t>**wskakunin_LAST_ISSUE_DATE</t>
  </si>
  <si>
    <t>cst_wskakunin_LAST_ISSUE_DATE</t>
  </si>
  <si>
    <t>**wskakunin_LAST_ISSUE_NAME</t>
  </si>
  <si>
    <t>cst_wskakunin_LAST_ISSUE_NAME</t>
  </si>
  <si>
    <t>計画変更の概要</t>
  </si>
  <si>
    <t>**wskakunin_P1_HENKOU_GAIYOU</t>
  </si>
  <si>
    <t>cst_wskakunin_P1_HENKOU_GAIYOU</t>
  </si>
  <si>
    <t>確認済証番号（届出用）</t>
  </si>
  <si>
    <t>cst_shinsei_KAKUNIN_ISSUE_NO</t>
  </si>
  <si>
    <t>　※確認かそれ以外かで判別する</t>
  </si>
  <si>
    <t>確認済証交付者（届出用）</t>
  </si>
  <si>
    <t>cst_ISSUE_KOUFU_NAME_select</t>
  </si>
  <si>
    <t>確認済証交付日（届出用）</t>
  </si>
  <si>
    <t>cst_shinsei_KAKUNIN_KOUFU_DATE</t>
  </si>
  <si>
    <t>**wskakunin_PAGE1_ALTERATION_NOTE</t>
  </si>
  <si>
    <t>cst_wskakunin_PAGE1_ALTERATION_NOTE</t>
  </si>
  <si>
    <t>申請者</t>
  </si>
  <si>
    <t>申請者名</t>
  </si>
  <si>
    <t>**wskakunin_APPLICANT_NAME</t>
  </si>
  <si>
    <t>猫山　花子</t>
  </si>
  <si>
    <t>cst_wskakunin_APPLICANT_NAME</t>
  </si>
  <si>
    <t>建築主</t>
  </si>
  <si>
    <t>会社名</t>
  </si>
  <si>
    <t>**wskakunin_owner1_JIMU_NAME</t>
  </si>
  <si>
    <t>cst_wskakunin_owner1_JIMU_NAME</t>
  </si>
  <si>
    <t>会社名フリガナ</t>
  </si>
  <si>
    <t>**wskakunin_owner1_JIMU_NAME_KANA</t>
  </si>
  <si>
    <t>cst_wskakunin_owner1_JIMU_NAME_KANA</t>
  </si>
  <si>
    <t>役職</t>
  </si>
  <si>
    <t>**wskakunin_owner1_POST</t>
  </si>
  <si>
    <t>cst_wskakunin_owner1_POST</t>
  </si>
  <si>
    <t>役職フリガナ</t>
  </si>
  <si>
    <t>**wskakunin_owner1_POST_KANA</t>
  </si>
  <si>
    <t>cst_wskakunin_owner1_POST_KANA</t>
  </si>
  <si>
    <t>氏名</t>
  </si>
  <si>
    <t>**wskakunin_owner1_NAME</t>
  </si>
  <si>
    <t>cst_wskakunin_owner1_NAME</t>
  </si>
  <si>
    <t>氏名フリガナ</t>
  </si>
  <si>
    <t>**wskakunin_owner1_NAME_KANA</t>
  </si>
  <si>
    <t>ネコヤマ　ハナコ</t>
  </si>
  <si>
    <t>cst_wskakunin_owner1_NAME_KANA</t>
  </si>
  <si>
    <t>会社名フリガナ&lt;スペース&gt;役職フリガナ&lt;スペース&gt;氏名フリガナ</t>
  </si>
  <si>
    <t>cst_wskakunin_owner1__space_KANA</t>
  </si>
  <si>
    <t>会社名フリガナ&lt;スペース&gt;役職フリガナ&lt;スペース&gt;氏名フリガナ　常に表示（一行表示）</t>
  </si>
  <si>
    <t>cst_wskakunin_owner1__space_KANA2</t>
  </si>
  <si>
    <t>郵便番号</t>
  </si>
  <si>
    <t>**wskakunin_owner1_ZIP</t>
  </si>
  <si>
    <t>567-0009</t>
  </si>
  <si>
    <t>cst_wskakunin_owner1_ZIP</t>
  </si>
  <si>
    <t>cst_wskakunin_owner1_ZIP2</t>
  </si>
  <si>
    <t>住所</t>
  </si>
  <si>
    <t>**wskakunin_owner1__address</t>
  </si>
  <si>
    <t>大阪府茨木市山手台2-2-2</t>
  </si>
  <si>
    <t>cst_wskakunin_owner1__address</t>
  </si>
  <si>
    <t>電話番号</t>
  </si>
  <si>
    <t>**wskakunin_owner1_TEL</t>
  </si>
  <si>
    <t>なし</t>
  </si>
  <si>
    <t>cst_wskakunin_owner1_TEL</t>
  </si>
  <si>
    <t>cst_wskakunin_owner1_TEL_dsp</t>
  </si>
  <si>
    <t>会社名&lt;スペース&gt;役職&lt;スペース&gt;氏名</t>
  </si>
  <si>
    <t>cst_wskakunin_owner1__space</t>
  </si>
  <si>
    <t>役職&lt;スペース&gt;氏名</t>
  </si>
  <si>
    <t>cst_wskakunin_owner1__space2</t>
  </si>
  <si>
    <t>会社名&lt;改行&gt;
役職&lt;スペース&gt;氏名</t>
  </si>
  <si>
    <t>cst_wskakunin_owner1__space3</t>
  </si>
  <si>
    <t>会社名&lt;スペース&gt;役職&lt;スペース&gt;氏名　常に表示（一行表示）</t>
  </si>
  <si>
    <t>cst_wskakunin_owner1__space4</t>
  </si>
  <si>
    <t>氏名または会社名</t>
  </si>
  <si>
    <t>cst_wskakunin_owner1__line1</t>
  </si>
  <si>
    <t>役職＋氏名 ※会社時のみ</t>
  </si>
  <si>
    <t>cst_wskakunin_owner1__line2</t>
  </si>
  <si>
    <t>建築主2</t>
  </si>
  <si>
    <t>**wskakunin_owner2_JIMU_NAME</t>
  </si>
  <si>
    <t>cst_wskakunin_owner2_JIMU_NAME</t>
  </si>
  <si>
    <t>**wskakunin_owner2_JIMU_NAME_KANA</t>
  </si>
  <si>
    <t>cst_wskakunin_owner2_JIMU_NAME_KANA</t>
  </si>
  <si>
    <t>**wskakunin_owner2_POST</t>
  </si>
  <si>
    <t>cst_wskakunin_owner2_POST</t>
  </si>
  <si>
    <t>**wskakunin_owner2_POST_KANA</t>
  </si>
  <si>
    <t>cst_wskakunin_owner2_POST_KANA</t>
  </si>
  <si>
    <t>**wskakunin_owner2_NAME</t>
  </si>
  <si>
    <t>cst_wskakunin_owner2_NAME</t>
  </si>
  <si>
    <t>**wskakunin_owner2_NAME_KANA</t>
  </si>
  <si>
    <t>cst_wskakunin_owner2_NAME_KANA</t>
  </si>
  <si>
    <t>**wskakunin_owner2_ZIP</t>
  </si>
  <si>
    <t>cst_wskakunin_owner2_ZIP</t>
  </si>
  <si>
    <t>**wskakunin_owner2__address</t>
  </si>
  <si>
    <t>cst_wskakunin_owner2__address</t>
  </si>
  <si>
    <t>**wskakunin_owner2_TEL</t>
  </si>
  <si>
    <t>cst_wskakunin_owner2_TEL</t>
  </si>
  <si>
    <t>cst_wskakunin_owner2__space</t>
  </si>
  <si>
    <t>cst_wskakunin_owner2__space2</t>
  </si>
  <si>
    <t>cst_wskakunin_owner2__space3</t>
  </si>
  <si>
    <t>建築主3</t>
  </si>
  <si>
    <t>**wskakunin_owner3_JIMU_NAME</t>
  </si>
  <si>
    <t>cst_wskakunin_owner3_JIMU_NAME</t>
  </si>
  <si>
    <t>**wskakunin_owner3_JIMU_NAME_KANA</t>
  </si>
  <si>
    <t>cst_wskakunin_owner3_JIMU_NAME_KANA</t>
  </si>
  <si>
    <t>**wskakunin_owner3_POST</t>
  </si>
  <si>
    <t>cst_wskakunin_owner3_POST</t>
  </si>
  <si>
    <t>**wskakunin_owner3_POST_KANA</t>
  </si>
  <si>
    <t>cst_wskakunin_owner3_POST_KANA</t>
  </si>
  <si>
    <t>**wskakunin_owner3_NAME</t>
  </si>
  <si>
    <t>cst_wskakunin_owner3_NAME</t>
  </si>
  <si>
    <t>**wskakunin_owner3_NAME_KANA</t>
  </si>
  <si>
    <t>cst_wskakunin_owner3_NAME_KANA</t>
  </si>
  <si>
    <t>**wskakunin_owner3_ZIP</t>
  </si>
  <si>
    <t>cst_wskakunin_owner3_ZIP</t>
  </si>
  <si>
    <t>**wskakunin_owner3__address</t>
  </si>
  <si>
    <t>cst_wskakunin_owner3__address</t>
  </si>
  <si>
    <t>**wskakunin_owner3_TEL</t>
  </si>
  <si>
    <t>cst_wskakunin_owner3_TEL</t>
  </si>
  <si>
    <t>cst_wskakunin_owner3__space</t>
  </si>
  <si>
    <t>cst_wskakunin_owner3__space2</t>
  </si>
  <si>
    <t>建築主4</t>
  </si>
  <si>
    <t>**wskakunin_owner4_JIMU_NAME</t>
  </si>
  <si>
    <t>cst_wskakunin_owner4_JIMU_NAME</t>
  </si>
  <si>
    <t>**wskakunin_owner4_JIMU_NAME_KANA</t>
  </si>
  <si>
    <t>cst_wskakunin_owner4_JIMU_NAME_KANA</t>
  </si>
  <si>
    <t>**wskakunin_owner4_POST</t>
  </si>
  <si>
    <t>cst_wskakunin_owner4_POST</t>
  </si>
  <si>
    <t>**wskakunin_owner4_POST_KANA</t>
  </si>
  <si>
    <t>cst_wskakunin_owner4_POST_KANA</t>
  </si>
  <si>
    <t>**wskakunin_owner4_NAME</t>
  </si>
  <si>
    <t>cst_wskakunin_owner4_NAME</t>
  </si>
  <si>
    <t>**wskakunin_owner4_NAME_KANA</t>
  </si>
  <si>
    <t>cst_wskakunin_owner4_NAME_KANA</t>
  </si>
  <si>
    <t>**wskakunin_owner4_ZIP</t>
  </si>
  <si>
    <t>cst_wskakunin_owner4_ZIP</t>
  </si>
  <si>
    <t>**wskakunin_owner4__address</t>
  </si>
  <si>
    <t>cst_wskakunin_owner4__address</t>
  </si>
  <si>
    <t>**wskakunin_owner4_TEL</t>
  </si>
  <si>
    <t>cst_wskakunin_owner4_TEL</t>
  </si>
  <si>
    <t>cst_wskakunin_owner4__space</t>
  </si>
  <si>
    <t>建築主5</t>
  </si>
  <si>
    <t>**wskakunin_owner5_JIMU_NAME</t>
  </si>
  <si>
    <t>cst_wskakunin_owner5_JIMU_NAME</t>
  </si>
  <si>
    <t>**wskakunin_owner5_JIMU_NAME_KANA</t>
  </si>
  <si>
    <t>cst_wskakunin_owner5_JIMU_NAME_KANA</t>
  </si>
  <si>
    <t>**wskakunin_owner5_POST</t>
  </si>
  <si>
    <t>cst_wskakunin_owner5_POST</t>
  </si>
  <si>
    <t>**wskakunin_owner5_POST_KANA</t>
  </si>
  <si>
    <t>cst_wskakunin_owner5_POST_KANA</t>
  </si>
  <si>
    <t>**wskakunin_owner5_NAME</t>
  </si>
  <si>
    <t>cst_wskakunin_owner5_NAME</t>
  </si>
  <si>
    <t>**wskakunin_owner5_NAME_KANA</t>
  </si>
  <si>
    <t>cst_wskakunin_owner5_NAME_KANA</t>
  </si>
  <si>
    <t>**wskakunin_owner5_ZIP</t>
  </si>
  <si>
    <t>cst_wskakunin_owner5_ZIP</t>
  </si>
  <si>
    <t>**wskakunin_owner5__address</t>
  </si>
  <si>
    <t>cst_wskakunin_owner5__address</t>
  </si>
  <si>
    <t>**wskakunin_owner5_TEL</t>
  </si>
  <si>
    <t>cst_wskakunin_owner5_TEL</t>
  </si>
  <si>
    <t>cst_wskakunin_owner5__space</t>
  </si>
  <si>
    <t>建築主6</t>
  </si>
  <si>
    <t>**wskakunin_owner6_JIMU_NAME</t>
  </si>
  <si>
    <t>cst_wskakunin_owner6_JIMU_NAME</t>
  </si>
  <si>
    <t>**wskakunin_owner6_JIMU_NAME_KANA</t>
  </si>
  <si>
    <t>cst_wskakunin_owner6_JIMU_NAME_KANA</t>
  </si>
  <si>
    <t>**wskakunin_owner6_POST</t>
  </si>
  <si>
    <t>cst_wskakunin_owner6_POST</t>
  </si>
  <si>
    <t>**wskakunin_owner6_POST_KANA</t>
  </si>
  <si>
    <t>cst_wskakunin_owner6_POST_KANA</t>
  </si>
  <si>
    <t>**wskakunin_owner6_NAME</t>
  </si>
  <si>
    <t>cst_wskakunin_owner6_NAME</t>
  </si>
  <si>
    <t>**wskakunin_owner6_NAME_KANA</t>
  </si>
  <si>
    <t>cst_wskakunin_owner6_NAME_KANA</t>
  </si>
  <si>
    <t>**wskakunin_owner6_ZIP</t>
  </si>
  <si>
    <t>cst_wskakunin_owner6_ZIP</t>
  </si>
  <si>
    <t>**wskakunin_owner6__address</t>
  </si>
  <si>
    <t>cst_wskakunin_owner6__address</t>
  </si>
  <si>
    <t>**wskakunin_owner6_TEL</t>
  </si>
  <si>
    <t>cst_wskakunin_owner6_TEL</t>
  </si>
  <si>
    <t>cst_wskakunin_owner6__space3</t>
  </si>
  <si>
    <t>建築主7</t>
  </si>
  <si>
    <t>**wskakunin_owner7_JIMU_NAME</t>
  </si>
  <si>
    <t>cst_wskakunin_owner7_JIMU_NAME</t>
  </si>
  <si>
    <t>**wskakunin_owner7_JIMU_NAME_KANA</t>
  </si>
  <si>
    <t>cst_wskakunin_owner7_JIMU_NAME_KANA</t>
  </si>
  <si>
    <t>**wskakunin_owner7_POST</t>
  </si>
  <si>
    <t>cst_wskakunin_owner7_POST</t>
  </si>
  <si>
    <t>**wskakunin_owner7_POST_KANA</t>
  </si>
  <si>
    <t>cst_wskakunin_owner7_POST_KANA</t>
  </si>
  <si>
    <t>**wskakunin_owner7_NAME</t>
  </si>
  <si>
    <t>cst_wskakunin_owner7_NAME</t>
  </si>
  <si>
    <t>**wskakunin_owner7_NAME_KANA</t>
  </si>
  <si>
    <t>cst_wskakunin_owner7_NAME_KANA</t>
  </si>
  <si>
    <t>**wskakunin_owner7_ZIP</t>
  </si>
  <si>
    <t>cst_wskakunin_owner7_ZIP</t>
  </si>
  <si>
    <t>**wskakunin_owner7__address</t>
  </si>
  <si>
    <t>cst_wskakunin_owner7__address</t>
  </si>
  <si>
    <t>**wskakunin_owner7_TEL</t>
  </si>
  <si>
    <t>cst_wskakunin_owner7_TEL</t>
  </si>
  <si>
    <t>建築主8</t>
  </si>
  <si>
    <t>**wskakunin_owner8_JIMU_NAME</t>
  </si>
  <si>
    <t>cst_wskakunin_owner8_JIMU_NAME</t>
  </si>
  <si>
    <t>**wskakunin_owner8_JIMU_NAME_KANA</t>
  </si>
  <si>
    <t>cst_wskakunin_owner8_JIMU_NAME_KANA</t>
  </si>
  <si>
    <t>**wskakunin_owner8_POST</t>
  </si>
  <si>
    <t>cst_wskakunin_owner8_POST</t>
  </si>
  <si>
    <t>**wskakunin_owner8_POST_KANA</t>
  </si>
  <si>
    <t>cst_wskakunin_owner8_POST_KANA</t>
  </si>
  <si>
    <t>**wskakunin_owner8_NAME</t>
  </si>
  <si>
    <t>cst_wskakunin_owner8_NAME</t>
  </si>
  <si>
    <t>**wskakunin_owner8_NAME_KANA</t>
  </si>
  <si>
    <t>cst_wskakunin_owner8_NAME_KANA</t>
  </si>
  <si>
    <t>**wskakunin_owner8_ZIP</t>
  </si>
  <si>
    <t>cst_wskakunin_owner8_ZIP</t>
  </si>
  <si>
    <t>**wskakunin_owner8__address</t>
  </si>
  <si>
    <t>cst_wskakunin_owner8__address</t>
  </si>
  <si>
    <t>**wskakunin_owner8_TEL</t>
  </si>
  <si>
    <t>cst_wskakunin_owner8_TEL</t>
  </si>
  <si>
    <t>建築主9</t>
  </si>
  <si>
    <t>**wskakunin_owner9_JIMU_NAME</t>
  </si>
  <si>
    <t>cst_wskakunin_owner9_JIMU_NAME</t>
  </si>
  <si>
    <t>**wskakunin_owner9_JIMU_NAME_KANA</t>
  </si>
  <si>
    <t>cst_wskakunin_owner9_JIMU_NAME_KANA</t>
  </si>
  <si>
    <t>**wskakunin_owner9_POST</t>
  </si>
  <si>
    <t>cst_wskakunin_owner9_POST</t>
  </si>
  <si>
    <t>**wskakunin_owner9_POST_KANA</t>
  </si>
  <si>
    <t>cst_wskakunin_owner9_POST_KANA</t>
  </si>
  <si>
    <t>**wskakunin_owner9_NAME</t>
  </si>
  <si>
    <t>cst_wskakunin_owner9_NAME</t>
  </si>
  <si>
    <t>**wskakunin_owner9_NAME_KANA</t>
  </si>
  <si>
    <t>cst_wskakunin_owner9_NAME_KANA</t>
  </si>
  <si>
    <t>**wskakunin_owner9_ZIP</t>
  </si>
  <si>
    <t>cst_wskakunin_owner9_ZIP</t>
  </si>
  <si>
    <t>**wskakunin_owner9__address</t>
  </si>
  <si>
    <t>cst_wskakunin_owner9__address</t>
  </si>
  <si>
    <t>**wskakunin_owner9_TEL</t>
  </si>
  <si>
    <t>cst_wskakunin_owner9_TEL</t>
  </si>
  <si>
    <t>代理者</t>
  </si>
  <si>
    <t>資格一括</t>
  </si>
  <si>
    <t>**wskakunin_dairi1__sikaku</t>
  </si>
  <si>
    <t>一級建築士大臣登録第001100号</t>
  </si>
  <si>
    <t>cst_wskakunin_dairi1__sikaku</t>
  </si>
  <si>
    <t>資格</t>
  </si>
  <si>
    <t>**wskakunin_dairi1_SIKAKU__label</t>
  </si>
  <si>
    <t>一級</t>
  </si>
  <si>
    <t>cst_wskakunin_dairi1_SIKAKU</t>
  </si>
  <si>
    <t>登録機関</t>
  </si>
  <si>
    <t>**wskakunin_dairi1_TOUROKU_KIKAN__label</t>
  </si>
  <si>
    <t>大臣</t>
  </si>
  <si>
    <t>cst_wskakunin_dairi1_TOUROKU_KIKAN</t>
  </si>
  <si>
    <t>建築士登録番号</t>
  </si>
  <si>
    <t>**wskakunin_dairi1_KENTIKUSI_NO</t>
  </si>
  <si>
    <t>001100</t>
  </si>
  <si>
    <t>cst_wskakunin_dairi1_KENTIKUSI_NO</t>
  </si>
  <si>
    <t>**wsflat35_dairi1_POST</t>
  </si>
  <si>
    <t>cst_wsflat35_dairi1_POST</t>
  </si>
  <si>
    <t>**wskakunin_dairi1_NAME</t>
  </si>
  <si>
    <t>現場　猫</t>
  </si>
  <si>
    <t>cst_wskakunin_dairi1_NAME</t>
  </si>
  <si>
    <t>フリガナ</t>
  </si>
  <si>
    <t>**wskakunin_dairi1_NAME_KANA</t>
  </si>
  <si>
    <t>cst_wskakunin_dairi1_NAME_KANA</t>
  </si>
  <si>
    <t>事務所 資格一括</t>
  </si>
  <si>
    <t>**wskakunin_dairi1_JIMU__sikaku</t>
  </si>
  <si>
    <t>一級建築士事務所京都府知事登録第03A00000号</t>
  </si>
  <si>
    <t>cst_wskakunin_dairi1_JIMU__sikaku</t>
  </si>
  <si>
    <t>事務所 資格</t>
  </si>
  <si>
    <t>**wskakunin_dairi1_JIMU_SIKAKU__label</t>
  </si>
  <si>
    <t>cst_wskakunin_dairi1_JIMU_SIKAKU</t>
  </si>
  <si>
    <t>事務所　登録機関</t>
  </si>
  <si>
    <t>**wskakunin_dairi1_JIMU_TOUROKU_KIKAN__label</t>
  </si>
  <si>
    <t>京都府</t>
  </si>
  <si>
    <t>cst_wskakunin_dairi1_JIMU_TOUROKU_KIKAN</t>
  </si>
  <si>
    <t>事務所　許可番号</t>
  </si>
  <si>
    <t>**wskakunin_dairi1_JIMU_NO</t>
  </si>
  <si>
    <t>03A00000</t>
  </si>
  <si>
    <t>cst_wskakunin_dairi1_JIMU_NO</t>
  </si>
  <si>
    <t>事務所名</t>
  </si>
  <si>
    <t>**wskakunin_dairi1_JIMU_NAME</t>
  </si>
  <si>
    <t>猫建築事務所</t>
  </si>
  <si>
    <t>cst_wskakunin_dairi1_JIMU_NAME</t>
  </si>
  <si>
    <t>**wskakunin_dairi1_ZIP</t>
  </si>
  <si>
    <t>604-0001</t>
  </si>
  <si>
    <t>cst_wskakunin_dairi1_ZIP</t>
  </si>
  <si>
    <t>所在地</t>
  </si>
  <si>
    <t>**wskakunin_dairi1__address</t>
  </si>
  <si>
    <t>京都府京都市中京区道場町1</t>
  </si>
  <si>
    <t>cst_wskakunin_dairi1__address</t>
  </si>
  <si>
    <t>**wskakunin_dairi1_TEL</t>
  </si>
  <si>
    <t>075-000-0000</t>
  </si>
  <si>
    <t>cst_wskakunin_dairi1_TEL</t>
  </si>
  <si>
    <t>cst_wskakunin_dairi1_TEL_dsp</t>
  </si>
  <si>
    <t>FAX番号</t>
  </si>
  <si>
    <t>**wskakunin_dairi1_FAX</t>
  </si>
  <si>
    <t>cst_wskakunin_dairi1_FAX</t>
  </si>
  <si>
    <t>会社名&lt;スペース&gt;氏名</t>
  </si>
  <si>
    <t>cst_wskakunin_dairi1__space</t>
  </si>
  <si>
    <t>cst_wskakunin_dairi1__space2</t>
  </si>
  <si>
    <t>代理者2</t>
  </si>
  <si>
    <t>**wskakunin_dairi2__sikaku</t>
  </si>
  <si>
    <t>cst_wskakunin_dairi2__sikaku</t>
  </si>
  <si>
    <t>**wskakunin_dairi2_SIKAKU__label</t>
  </si>
  <si>
    <t>cst_wskakunin_dairi2_SIKAKU</t>
  </si>
  <si>
    <t>**wskakunin_dairi2_TOUROKU_KIKAN__label</t>
  </si>
  <si>
    <t>cst_wskakunin_dairi2_TOUROKU_KIKAN</t>
  </si>
  <si>
    <t>**wskakunin_dairi2_KENTIKUSI_NO</t>
  </si>
  <si>
    <t>cst_wskakunin_dairi2_KENTIKUSI_NO</t>
  </si>
  <si>
    <t>**wskakunin_dairi2_NAME</t>
  </si>
  <si>
    <t>cst_wskakunin_dairi2_NAME</t>
  </si>
  <si>
    <t>**wskakunin_dairi2_NAME_KANA</t>
  </si>
  <si>
    <t>cst_wskakunin_dairi2_NAME_KANA</t>
  </si>
  <si>
    <t>**wskakunin_dairi2_JIMU__sikaku</t>
  </si>
  <si>
    <t>cst_wskakunin_dairi2_JIMU__sikaku</t>
  </si>
  <si>
    <t>**wskakunin_dairi2_JIMU_SIKAKU__label</t>
  </si>
  <si>
    <t>cst_wskakunin_dairi2_JIMU_SIKAKU</t>
  </si>
  <si>
    <t>**wskakunin_dairi2_JIMU_TOUROKU_KIKAN__label</t>
  </si>
  <si>
    <t>cst_wskakunin_dairi2_JIMU_TOUROKU_KIKAN</t>
  </si>
  <si>
    <t>**wskakunin_dairi2_JIMU_NO</t>
  </si>
  <si>
    <t>cst_wskakunin_dairi2_JIMU_NO</t>
  </si>
  <si>
    <t>**wskakunin_dairi2_JIMU_NAME</t>
  </si>
  <si>
    <t>cst_wskakunin_dairi2_JIMU_NAME</t>
  </si>
  <si>
    <t>**wskakunin_dairi2_ZIP</t>
  </si>
  <si>
    <t>cst_wskakunin_dairi2_ZIP</t>
  </si>
  <si>
    <t>**wskakunin_dairi2__address</t>
  </si>
  <si>
    <t>cst_wskakunin_dairi2__address</t>
  </si>
  <si>
    <t>**wskakunin_dairi2_TEL</t>
  </si>
  <si>
    <t>cst_wskakunin_dairi2_TEL</t>
  </si>
  <si>
    <t>**wskakunin_dairi2_FAX</t>
  </si>
  <si>
    <t>cst_wskakunin_dairi2_FAX</t>
  </si>
  <si>
    <t>cst_wskakunin_dairi2__space</t>
  </si>
  <si>
    <t>代理者3</t>
  </si>
  <si>
    <t>**wskakunin_dairi3__sikaku</t>
  </si>
  <si>
    <t>cst_wskakunin_dairi3__sikaku</t>
  </si>
  <si>
    <t>**wskakunin_dairi3_SIKAKU__label</t>
  </si>
  <si>
    <t>cst_wskakunin_dairi3_SIKAKU</t>
  </si>
  <si>
    <t>**wskakunin_dairi3_TOUROKU_KIKAN__label</t>
  </si>
  <si>
    <t>cst_wskakunin_dairi3_TOUROKU_KIKAN</t>
  </si>
  <si>
    <t>**wskakunin_dairi3_KENTIKUSI_NO</t>
  </si>
  <si>
    <t>cst_wskakunin_dairi3_KENTIKUSI_NO</t>
  </si>
  <si>
    <t>**wskakunin_dairi3_NAME</t>
  </si>
  <si>
    <t>cst_wskakunin_dairi3_NAME</t>
  </si>
  <si>
    <t>**wskakunin_dairi3_NAME_KANA</t>
  </si>
  <si>
    <t>cst_wskakunin_dairi3_NAME_KANA</t>
  </si>
  <si>
    <t>**wskakunin_dairi3_JIMU__sikaku</t>
  </si>
  <si>
    <t>cst_wskakunin_dairi3_JIMU__sikaku</t>
  </si>
  <si>
    <t>**wskakunin_dairi3_JIMU_SIKAKU__label</t>
  </si>
  <si>
    <t>cst_wskakunin_dairi3_JIMU_SIKAKU</t>
  </si>
  <si>
    <t>**wskakunin_dairi3_JIMU_TOUROKU_KIKAN__label</t>
  </si>
  <si>
    <t>cst_wskakunin_dairi3_JIMU_TOUROKU_KIKAN</t>
  </si>
  <si>
    <t>**wskakunin_dairi3_JIMU_NO</t>
  </si>
  <si>
    <t>cst_wskakunin_dairi3_JIMU_NO</t>
  </si>
  <si>
    <t>**wskakunin_dairi3_JIMU_NAME</t>
  </si>
  <si>
    <t>cst_wskakunin_dairi3_JIMU_NAME</t>
  </si>
  <si>
    <t>**wskakunin_dairi3_ZIP</t>
  </si>
  <si>
    <t>cst_wskakunin_dairi3_ZIP</t>
  </si>
  <si>
    <t>**wskakunin_dairi3__address</t>
  </si>
  <si>
    <t>cst_wskakunin_dairi3__address</t>
  </si>
  <si>
    <t>**wskakunin_dairi3_TEL</t>
  </si>
  <si>
    <t>cst_wskakunin_dairi3_TEL</t>
  </si>
  <si>
    <t>**wskakunin_dairi3_FAX</t>
  </si>
  <si>
    <t>cst_wskakunin_dairi3_FAX</t>
  </si>
  <si>
    <t>cst_wskakunin_dairi3__space</t>
  </si>
  <si>
    <t>代理者4</t>
  </si>
  <si>
    <t>**wskakunin_dairi4__sikaku</t>
  </si>
  <si>
    <t>cst_wskakunin_dairi4__sikaku</t>
  </si>
  <si>
    <t>**wskakunin_dairi4_SIKAKU__label</t>
  </si>
  <si>
    <t>cst_wskakunin_dairi4_SIKAKU</t>
  </si>
  <si>
    <t>**wskakunin_dairi4_TOUROKU_KIKAN__label</t>
  </si>
  <si>
    <t>cst_wskakunin_dairi4_TOUROKU_KIKAN</t>
  </si>
  <si>
    <t>**wskakunin_dairi4_KENTIKUSI_NO</t>
  </si>
  <si>
    <t>cst_wskakunin_dairi4_KENTIKUSI_NO</t>
  </si>
  <si>
    <t>**wskakunin_dairi4_NAME</t>
  </si>
  <si>
    <t>cst_wskakunin_dairi4_NAME</t>
  </si>
  <si>
    <t>**wskakunin_dairi4_NAME_KANA</t>
  </si>
  <si>
    <t>cst_wskakunin_dairi4_NAME_KANA</t>
  </si>
  <si>
    <t>**wskakunin_dairi4_JIMU__sikaku</t>
  </si>
  <si>
    <t>cst_wskakunin_dairi4_JIMU__sikaku</t>
  </si>
  <si>
    <t>**wskakunin_dairi4_JIMU_SIKAKU__label</t>
  </si>
  <si>
    <t>cst_wskakunin_dairi4_JIMU_SIKAKU</t>
  </si>
  <si>
    <t>**wskakunin_dairi4_JIMU_TOUROKU_KIKAN__label</t>
  </si>
  <si>
    <t>cst_wskakunin_dairi4_JIMU_TOUROKU_KIKAN</t>
  </si>
  <si>
    <t>**wskakunin_dairi4_JIMU_NO</t>
  </si>
  <si>
    <t>cst_wskakunin_dairi4_JIMU_NO</t>
  </si>
  <si>
    <t>**wskakunin_dairi4_JIMU_NAME</t>
  </si>
  <si>
    <t>cst_wskakunin_dairi4_JIMU_NAME</t>
  </si>
  <si>
    <t>**wskakunin_dairi4_ZIP</t>
  </si>
  <si>
    <t>cst_wskakunin_dairi4_ZIP</t>
  </si>
  <si>
    <t>**wskakunin_dairi4__address</t>
  </si>
  <si>
    <t>cst_wskakunin_dairi4__address</t>
  </si>
  <si>
    <t>**wskakunin_dairi4_TEL</t>
  </si>
  <si>
    <t>cst_wskakunin_dairi4_TEL</t>
  </si>
  <si>
    <t>**wskakunin_dairi4_FAX</t>
  </si>
  <si>
    <t>cst_wskakunin_dairi4_FAX</t>
  </si>
  <si>
    <t>cst_wskakunin_dairi4__space</t>
  </si>
  <si>
    <t>代理者5</t>
  </si>
  <si>
    <t>**wskakunin_dairi5__sikaku</t>
  </si>
  <si>
    <t>cst_wskakunin_dairi5__sikaku</t>
  </si>
  <si>
    <t>**wskakunin_dairi5_SIKAKU__label</t>
  </si>
  <si>
    <t>cst_wskakunin_dairi5_SIKAKU</t>
  </si>
  <si>
    <t>**wskakunin_dairi5_TOUROKU_KIKAN__label</t>
  </si>
  <si>
    <t>cst_wskakunin_dairi5_TOUROKU_KIKAN</t>
  </si>
  <si>
    <t>**wskakunin_dairi5_KENTIKUSI_NO</t>
  </si>
  <si>
    <t>cst_wskakunin_dairi5_KENTIKUSI_NO</t>
  </si>
  <si>
    <t>**wskakunin_dairi5_NAME</t>
  </si>
  <si>
    <t>cst_wskakunin_dairi5_NAME</t>
  </si>
  <si>
    <t>**wskakunin_dairi5_NAME_KANA</t>
  </si>
  <si>
    <t>cst_wskakunin_dairi5_NAME_KANA</t>
  </si>
  <si>
    <t>**wskakunin_dairi5_JIMU__sikaku</t>
  </si>
  <si>
    <t>cst_wskakunin_dairi5_JIMU__sikaku</t>
  </si>
  <si>
    <t>**wskakunin_dairi5_JIMU_SIKAKU__label</t>
  </si>
  <si>
    <t>cst_wskakunin_dairi5_JIMU_SIKAKU</t>
  </si>
  <si>
    <t>**wskakunin_dairi5_JIMU_TOUROKU_KIKAN__label</t>
  </si>
  <si>
    <t>cst_wskakunin_dairi5_JIMU_TOUROKU_KIKAN</t>
  </si>
  <si>
    <t>**wskakunin_dairi5_JIMU_NO</t>
  </si>
  <si>
    <t>cst_wskakunin_dairi5_JIMU_NO</t>
  </si>
  <si>
    <t>**wskakunin_dairi5_JIMU_NAME</t>
  </si>
  <si>
    <t>cst_wskakunin_dairi5_JIMU_NAME</t>
  </si>
  <si>
    <t>**wskakunin_dairi5_ZIP</t>
  </si>
  <si>
    <t>cst_wskakunin_dairi5_ZIP</t>
  </si>
  <si>
    <t>**wskakunin_dairi5__address</t>
  </si>
  <si>
    <t>cst_wskakunin_dairi5__address</t>
  </si>
  <si>
    <t>**wskakunin_dairi5_TEL</t>
  </si>
  <si>
    <t>cst_wskakunin_dairi5_TEL</t>
  </si>
  <si>
    <t>**wskakunin_dairi5_FAX</t>
  </si>
  <si>
    <t>cst_wskakunin_dairi5_FAX</t>
  </si>
  <si>
    <t>cst_wskakunin_dairi5__space</t>
  </si>
  <si>
    <t>設計者1</t>
  </si>
  <si>
    <t>**wskakunin_sekkei1__sikaku</t>
  </si>
  <si>
    <t>cst_wskakunin_sekkei1__sikaku</t>
  </si>
  <si>
    <t>**wskakunin_sekkei1_SIKAKU__label</t>
  </si>
  <si>
    <t>cst_wskakunin_sekkei1_SIKAKU</t>
  </si>
  <si>
    <t>**wskakunin_sekkei1_TOUROKU_KIKAN__label</t>
  </si>
  <si>
    <t>cst_wskakunin_sekkei1_TOUROKU_KIKAN</t>
  </si>
  <si>
    <t>**wskakunin_sekkei1_KENTIKUSI_NO</t>
  </si>
  <si>
    <t>cst_wskakunin_sekkei1_KENTIKUSI_NO</t>
  </si>
  <si>
    <t>**wskakunin_sekkei1_NAME</t>
  </si>
  <si>
    <t>cst_wskakunin_sekkei1_NAME</t>
  </si>
  <si>
    <t>**wskakunin_sekkei1_JIMU__sikaku</t>
  </si>
  <si>
    <t>cst_wskakunin_sekkei1_JIMU__sikaku</t>
  </si>
  <si>
    <t>**wskakunin_sekkei1_JIMU_SIKAKU__label</t>
  </si>
  <si>
    <t>cst_wskakunin_sekkei1_JIMU_SIKAKU</t>
  </si>
  <si>
    <t>**wskakunin_sekkei1_JIMU_TOUROKU_KIKAN__label</t>
  </si>
  <si>
    <t>cst_wskakunin_sekkei1_JIMU_TOUROKU_KIKAN</t>
  </si>
  <si>
    <t>**wskakunin_sekkei1_JIMU_NO</t>
  </si>
  <si>
    <t>cst_wskakunin_sekkei1_JIMU_NO</t>
  </si>
  <si>
    <t>**wskakunin_sekkei1_JIMU_NAME</t>
  </si>
  <si>
    <t>cst_wskakunin_sekkei1_JIMU_NAME</t>
  </si>
  <si>
    <t>事務所名＋氏名</t>
  </si>
  <si>
    <t>cst_wskakunin_sekkei1_jimuname_name</t>
  </si>
  <si>
    <t>**wskakunin_sekkei1_ZIP</t>
  </si>
  <si>
    <t>cst_wskakunin_sekkei1_ZIP</t>
  </si>
  <si>
    <t>DOC</t>
  </si>
  <si>
    <t>**wskakunin_sekkei1__address</t>
  </si>
  <si>
    <t>cst_wskakunin_sekkei1__address</t>
  </si>
  <si>
    <t>**wskakunin_sekkei1_TEL</t>
  </si>
  <si>
    <t>cst_wskakunin_sekkei1_TEL</t>
  </si>
  <si>
    <t>設計図書</t>
  </si>
  <si>
    <t>**wskakunin_sekkei1_DOC</t>
  </si>
  <si>
    <t>全ての設計図書</t>
  </si>
  <si>
    <t>cst_wskakunin_sekkei1_DOC</t>
  </si>
  <si>
    <t>設計者2</t>
  </si>
  <si>
    <t>**wskakunin_sekkei2__sikaku</t>
  </si>
  <si>
    <t>cst_wskakunin_sekkei2__sikaku</t>
  </si>
  <si>
    <t>**wskakunin_sekkei2_SIKAKU__label</t>
  </si>
  <si>
    <t>cst_wskakunin_sekkei2_SIKAKU</t>
  </si>
  <si>
    <t>**wskakunin_sekkei2_TOUROKU_KIKAN__label</t>
  </si>
  <si>
    <t>cst_wskakunin_sekkei2_TOUROKU_KIKAN</t>
  </si>
  <si>
    <t>**wskakunin_sekkei2_KENTIKUSI_NO</t>
  </si>
  <si>
    <t>cst_wskakunin_sekkei2_KENTIKUSI_NO</t>
  </si>
  <si>
    <t>**wskakunin_sekkei2_NAME</t>
  </si>
  <si>
    <t>cst_wskakunin_sekkei2_NAME</t>
  </si>
  <si>
    <t>**wskakunin_sekkei2_JIMU__sikaku</t>
  </si>
  <si>
    <t>cst_wskakunin_sekkei2_JIMU__sikaku</t>
  </si>
  <si>
    <t>**wskakunin_sekkei2_JIMU_SIKAKU__label</t>
  </si>
  <si>
    <t>cst_wskakunin_sekkei2_JIMU_SIKAKU</t>
  </si>
  <si>
    <t>**wskakunin_sekkei2_JIMU_TOUROKU_KIKAN__label</t>
  </si>
  <si>
    <t>cst_wskakunin_sekkei2_JIMU_TOUROKU_KIKAN</t>
  </si>
  <si>
    <t>**wskakunin_sekkei2_JIMU_NO</t>
  </si>
  <si>
    <t>cst_wskakunin_sekkei2_JIMU_NO</t>
  </si>
  <si>
    <t>**wskakunin_sekkei2_JIMU_NAME</t>
  </si>
  <si>
    <t>cst_wskakunin_sekkei2_JIMU_NAME</t>
  </si>
  <si>
    <t>cst_wskakunin_sekkei2_jimuname_name</t>
  </si>
  <si>
    <t>**wskakunin_sekkei2_ZIP</t>
  </si>
  <si>
    <t>cst_wskakunin_sekkei2_ZIP</t>
  </si>
  <si>
    <t>**wskakunin_sekkei2__address</t>
  </si>
  <si>
    <t>cst_wskakunin_sekkei2__address</t>
  </si>
  <si>
    <t>**wskakunin_sekkei2_TEL</t>
  </si>
  <si>
    <t>cst_wskakunin_sekkei2_TEL</t>
  </si>
  <si>
    <t>**wskakunin_sekkei2_DOC</t>
  </si>
  <si>
    <t>cst_wskakunin_sekkei2_DOC</t>
  </si>
  <si>
    <t>設計者3</t>
  </si>
  <si>
    <t>**wskakunin_sekkei3__sikaku</t>
  </si>
  <si>
    <t>cst_wskakunin_sekkei3__sikaku</t>
  </si>
  <si>
    <t>**wskakunin_sekkei3_SIKAKU__label</t>
  </si>
  <si>
    <t>cst_wskakunin_sekkei3_SIKAKU</t>
  </si>
  <si>
    <t>**wskakunin_sekkei3_TOUROKU_KIKAN__label</t>
  </si>
  <si>
    <t>cst_wskakunin_sekkei3_TOUROKU_KIKAN</t>
  </si>
  <si>
    <t>**wskakunin_sekkei3_KENTIKUSI_NO</t>
  </si>
  <si>
    <t>cst_wskakunin_sekkei3_KENTIKUSI_NO</t>
  </si>
  <si>
    <t>**wskakunin_sekkei3_NAME</t>
  </si>
  <si>
    <t>cst_wskakunin_sekkei3_NAME</t>
  </si>
  <si>
    <t>**wskakunin_sekkei3_JIMU__sikaku</t>
  </si>
  <si>
    <t>cst_wskakunin_sekkei3_JIMU__sikaku</t>
  </si>
  <si>
    <t>**wskakunin_sekkei3_JIMU_SIKAKU__label</t>
  </si>
  <si>
    <t>cst_wskakunin_sekkei3_JIMU_SIKAKU</t>
  </si>
  <si>
    <t>**wskakunin_sekkei3_JIMU_TOUROKU_KIKAN__label</t>
  </si>
  <si>
    <t>cst_wskakunin_sekkei3_JIMU_TOUROKU_KIKAN</t>
  </si>
  <si>
    <t>**wskakunin_sekkei3_JIMU_NO</t>
  </si>
  <si>
    <t>cst_wskakunin_sekkei3_JIMU_NO</t>
  </si>
  <si>
    <t>**wskakunin_sekkei3_JIMU_NAME</t>
  </si>
  <si>
    <t>cst_wskakunin_sekkei3_JIMU_NAME</t>
  </si>
  <si>
    <t>cst_wskakunin_sekkei3_jimuname_name</t>
  </si>
  <si>
    <t>**wskakunin_sekkei3_ZIP</t>
  </si>
  <si>
    <t>cst_wskakunin_sekkei3_ZIP</t>
  </si>
  <si>
    <t>**wskakunin_sekkei3__address</t>
  </si>
  <si>
    <t>cst_wskakunin_sekkei3__address</t>
  </si>
  <si>
    <t>**wskakunin_sekkei3_TEL</t>
  </si>
  <si>
    <t>cst_wskakunin_sekkei3_TEL</t>
  </si>
  <si>
    <t>**wskakunin_sekkei3_DOC</t>
  </si>
  <si>
    <t>cst_wskakunin_sekkei3_DOC</t>
  </si>
  <si>
    <t>設計者4</t>
  </si>
  <si>
    <t>**wskakunin_sekkei4__sikaku</t>
  </si>
  <si>
    <t>cst_wskakunin_sekkei4__sikaku</t>
  </si>
  <si>
    <t>**wskakunin_sekkei4_SIKAKU__label</t>
  </si>
  <si>
    <t>cst_wskakunin_sekkei4_SIKAKU</t>
  </si>
  <si>
    <t>**wskakunin_sekkei4_TOUROKU_KIKAN__label</t>
  </si>
  <si>
    <t>cst_wskakunin_sekkei4_TOUROKU_KIKAN</t>
  </si>
  <si>
    <t>**wskakunin_sekkei4_KENTIKUSI_NO</t>
  </si>
  <si>
    <t>cst_wskakunin_sekkei4_KENTIKUSI_NO</t>
  </si>
  <si>
    <t>**wskakunin_sekkei4_NAME</t>
  </si>
  <si>
    <t>cst_wskakunin_sekkei4_NAME</t>
  </si>
  <si>
    <t>**wskakunin_sekkei4_JIMU__sikaku</t>
  </si>
  <si>
    <t>cst_wskakunin_sekkei4_JIMU__sikaku</t>
  </si>
  <si>
    <t>**wskakunin_sekkei4_JIMU_SIKAKU__label</t>
  </si>
  <si>
    <t>cst_wskakunin_sekkei4_JIMU_SIKAKU</t>
  </si>
  <si>
    <t>**wskakunin_sekkei4_JIMU_TOUROKU_KIKAN__label</t>
  </si>
  <si>
    <t>cst_wskakunin_sekkei4_JIMU_TOUROKU_KIKAN</t>
  </si>
  <si>
    <t>**wskakunin_sekkei4_JIMU_NO</t>
  </si>
  <si>
    <t>cst_wskakunin_sekkei4_JIMU_NO</t>
  </si>
  <si>
    <t>**wskakunin_sekkei4_JIMU_NAME</t>
  </si>
  <si>
    <t>cst_wskakunin_sekkei4_JIMU_NAME</t>
  </si>
  <si>
    <t>cst_wskakunin_sekkei4_jimuname_name</t>
  </si>
  <si>
    <t>**wskakunin_sekkei4_ZIP</t>
  </si>
  <si>
    <t>cst_wskakunin_sekkei4_ZIP</t>
  </si>
  <si>
    <t>**wskakunin_sekkei4__address</t>
  </si>
  <si>
    <t>cst_wskakunin_sekkei4__address</t>
  </si>
  <si>
    <t>**wskakunin_sekkei4_TEL</t>
  </si>
  <si>
    <t>cst_wskakunin_sekkei4_TEL</t>
  </si>
  <si>
    <t>**wskakunin_sekkei4_DOC</t>
  </si>
  <si>
    <t>cst_wskakunin_sekkei4_DOC</t>
  </si>
  <si>
    <t>設計者5</t>
  </si>
  <si>
    <t>**wskakunin_sekkei5__sikaku</t>
  </si>
  <si>
    <t>cst_wskakunin_sekkei5__sikaku</t>
  </si>
  <si>
    <t>**wskakunin_sekkei5_SIKAKU__label</t>
  </si>
  <si>
    <t>cst_wskakunin_sekkei5_SIKAKU</t>
  </si>
  <si>
    <t>**wskakunin_sekkei5_TOUROKU_KIKAN__label</t>
  </si>
  <si>
    <t>cst_wskakunin_sekkei5_TOUROKU_KIKAN</t>
  </si>
  <si>
    <t>**wskakunin_sekkei5_KENTIKUSI_NO</t>
  </si>
  <si>
    <t>cst_wskakunin_sekkei5_KENTIKUSI_NO</t>
  </si>
  <si>
    <t>**wskakunin_sekkei5_NAME</t>
  </si>
  <si>
    <t>cst_wskakunin_sekkei5_NAME</t>
  </si>
  <si>
    <t>**wskakunin_sekkei5_JIMU__sikaku</t>
  </si>
  <si>
    <t>cst_wskakunin_sekkei5_JIMU__sikaku</t>
  </si>
  <si>
    <t>**wskakunin_sekkei5_JIMU_SIKAKU__label</t>
  </si>
  <si>
    <t>cst_wskakunin_sekkei5_JIMU_SIKAKU</t>
  </si>
  <si>
    <t>**wskakunin_sekkei5_JIMU_TOUROKU_KIKAN__label</t>
  </si>
  <si>
    <t>cst_wskakunin_sekkei5_JIMU_TOUROKU_KIKAN</t>
  </si>
  <si>
    <t>**wskakunin_sekkei5_JIMU_NO</t>
  </si>
  <si>
    <t>cst_wskakunin_sekkei5_JIMU_NO</t>
  </si>
  <si>
    <t>**wskakunin_sekkei5_JIMU_NAME</t>
  </si>
  <si>
    <t>cst_wskakunin_sekkei5_JIMU_NAME</t>
  </si>
  <si>
    <t>cst_wskakunin_sekkei5_jimuname_name</t>
  </si>
  <si>
    <t>**wskakunin_sekkei5_ZIP</t>
  </si>
  <si>
    <t>cst_wskakunin_sekkei5_ZIP</t>
  </si>
  <si>
    <t>**wskakunin_sekkei5__address</t>
  </si>
  <si>
    <t>cst_wskakunin_sekkei5__address</t>
  </si>
  <si>
    <t>**wskakunin_sekkei5_TEL</t>
  </si>
  <si>
    <t>cst_wskakunin_sekkei5_TEL</t>
  </si>
  <si>
    <t>**wskakunin_sekkei5_DOC</t>
  </si>
  <si>
    <t>cst_wskakunin_sekkei5_DOC</t>
  </si>
  <si>
    <t>設計者6</t>
  </si>
  <si>
    <t>**wskakunin_sekkei6__sikaku</t>
  </si>
  <si>
    <t>cst_wskakunin_sekkei6__sikaku</t>
  </si>
  <si>
    <t>**wskakunin_sekkei6_SIKAKU__label</t>
  </si>
  <si>
    <t>cst_wskakunin_sekkei6_SIKAKU</t>
  </si>
  <si>
    <t>**wskakunin_sekkei6_TOUROKU_KIKAN__label</t>
  </si>
  <si>
    <t>cst_wskakunin_sekkei6_TOUROKU_KIKAN</t>
  </si>
  <si>
    <t>**wskakunin_sekkei6_KENTIKUSI_NO</t>
  </si>
  <si>
    <t>cst_wskakunin_sekkei6_KENTIKUSI_NO</t>
  </si>
  <si>
    <t>**wskakunin_sekkei6_NAME</t>
  </si>
  <si>
    <t>cst_wskakunin_sekkei6_NAME</t>
  </si>
  <si>
    <t>**wskakunin_sekkei6_JIMU__sikaku</t>
  </si>
  <si>
    <t>cst_wskakunin_sekkei6_JIMU__sikaku</t>
  </si>
  <si>
    <t>**wskakunin_sekkei6_JIMU_SIKAKU__label</t>
  </si>
  <si>
    <t>cst_wskakunin_sekkei6_JIMU_SIKAKU</t>
  </si>
  <si>
    <t>**wskakunin_sekkei6_JIMU_TOUROKU_KIKAN__label</t>
  </si>
  <si>
    <t>cst_wskakunin_sekkei6_JIMU_TOUROKU_KIKAN</t>
  </si>
  <si>
    <t>**wskakunin_sekkei6_JIMU_NO</t>
  </si>
  <si>
    <t>cst_wskakunin_sekkei6_JIMU_NO</t>
  </si>
  <si>
    <t>**wskakunin_sekkei6_JIMU_NAME</t>
  </si>
  <si>
    <t>cst_wskakunin_sekkei6_JIMU_NAME</t>
  </si>
  <si>
    <t>cst_wskakunin_sekkei6_jimuname_name</t>
  </si>
  <si>
    <t>**wskakunin_sekkei6_ZIP</t>
  </si>
  <si>
    <t>cst_wskakunin_sekkei6_ZIP</t>
  </si>
  <si>
    <t>**wskakunin_sekkei6__address</t>
  </si>
  <si>
    <t>cst_wskakunin_sekkei6__address</t>
  </si>
  <si>
    <t>**wskakunin_sekkei6_TEL</t>
  </si>
  <si>
    <t>cst_wskakunin_sekkei6_TEL</t>
  </si>
  <si>
    <t>**wskakunin_sekkei6_DOC</t>
  </si>
  <si>
    <t>cst_wskakunin_sekkei6_DOC</t>
  </si>
  <si>
    <t>設計者7</t>
  </si>
  <si>
    <t>**wskakunin_sekkei7__sikaku</t>
  </si>
  <si>
    <t>cst_wskakunin_sekkei7__sikaku</t>
  </si>
  <si>
    <t>**wskakunin_sekkei7_SIKAKU__label</t>
  </si>
  <si>
    <t>cst_wskakunin_sekkei7_SIKAKU</t>
  </si>
  <si>
    <t>**wskakunin_sekkei7_TOUROKU_KIKAN__label</t>
  </si>
  <si>
    <t>cst_wskakunin_sekkei7_TOUROKU_KIKAN</t>
  </si>
  <si>
    <t>**wskakunin_sekkei7_KENTIKUSI_NO</t>
  </si>
  <si>
    <t>cst_wskakunin_sekkei7_KENTIKUSI_NO</t>
  </si>
  <si>
    <t>**wskakunin_sekkei7_NAME</t>
  </si>
  <si>
    <t>cst_wskakunin_sekkei7_NAME</t>
  </si>
  <si>
    <t>**wskakunin_sekkei7_JIMU__sikaku</t>
  </si>
  <si>
    <t>cst_wskakunin_sekkei7_JIMU__sikaku</t>
  </si>
  <si>
    <t>**wskakunin_sekkei7_JIMU_SIKAKU__label</t>
  </si>
  <si>
    <t>cst_wskakunin_sekkei7_JIMU_SIKAKU</t>
  </si>
  <si>
    <t>**wskakunin_sekkei7_JIMU_TOUROKU_KIKAN__label</t>
  </si>
  <si>
    <t>cst_wskakunin_sekkei7_JIMU_TOUROKU_KIKAN</t>
  </si>
  <si>
    <t>**wskakunin_sekkei7_JIMU_NO</t>
  </si>
  <si>
    <t>cst_wskakunin_sekkei7_JIMU_NO</t>
  </si>
  <si>
    <t>**wskakunin_sekkei7_JIMU_NAME</t>
  </si>
  <si>
    <t>cst_wskakunin_sekkei7_JIMU_NAME</t>
  </si>
  <si>
    <t>cst_wskakunin_sekkei7_jimuname_name</t>
  </si>
  <si>
    <t>**wskakunin_sekkei7_ZIP</t>
  </si>
  <si>
    <t>cst_wskakunin_sekkei7_ZIP</t>
  </si>
  <si>
    <t>**wskakunin_sekkei7__address</t>
  </si>
  <si>
    <t>cst_wskakunin_sekkei7__address</t>
  </si>
  <si>
    <t>**wskakunin_sekkei7_TEL</t>
  </si>
  <si>
    <t>cst_wskakunin_sekkei7_TEL</t>
  </si>
  <si>
    <t>**wskakunin_sekkei7_DOC</t>
  </si>
  <si>
    <t>cst_wskakunin_sekkei7_DOC</t>
  </si>
  <si>
    <t>設計者8</t>
  </si>
  <si>
    <t>**wskakunin_sekkei8__sikaku</t>
  </si>
  <si>
    <t>cst_wskakunin_sekkei8__sikaku</t>
  </si>
  <si>
    <t>**wskakunin_sekkei8_SIKAKU__label</t>
  </si>
  <si>
    <t>cst_wskakunin_sekkei8_SIKAKU</t>
  </si>
  <si>
    <t>**wskakunin_sekkei8_TOUROKU_KIKAN__label</t>
  </si>
  <si>
    <t>cst_wskakunin_sekkei8_TOUROKU_KIKAN</t>
  </si>
  <si>
    <t>**wskakunin_sekkei8_KENTIKUSI_NO</t>
  </si>
  <si>
    <t>cst_wskakunin_sekkei8_KENTIKUSI_NO</t>
  </si>
  <si>
    <t>**wskakunin_sekkei8_NAME</t>
  </si>
  <si>
    <t>cst_wskakunin_sekkei8_NAME</t>
  </si>
  <si>
    <t>**wskakunin_sekkei8_JIMU__sikaku</t>
  </si>
  <si>
    <t>cst_wskakunin_sekkei8_JIMU__sikaku</t>
  </si>
  <si>
    <t>**wskakunin_sekkei8_JIMU_SIKAKU__label</t>
  </si>
  <si>
    <t>cst_wskakunin_sekkei8_JIMU_SIKAKU</t>
  </si>
  <si>
    <t>**wskakunin_sekkei8_JIMU_TOUROKU_KIKAN__label</t>
  </si>
  <si>
    <t>cst_wskakunin_sekkei8_JIMU_TOUROKU_KIKAN</t>
  </si>
  <si>
    <t>**wskakunin_sekkei8_JIMU_NO</t>
  </si>
  <si>
    <t>cst_wskakunin_sekkei8_JIMU_NO</t>
  </si>
  <si>
    <t>**wskakunin_sekkei8_JIMU_NAME</t>
  </si>
  <si>
    <t>cst_wskakunin_sekkei8_JIMU_NAME</t>
  </si>
  <si>
    <t>cst_wskakunin_sekkei8_jimuname_name</t>
  </si>
  <si>
    <t>**wskakunin_sekkei8_ZIP</t>
  </si>
  <si>
    <t>cst_wskakunin_sekkei8_ZIP</t>
  </si>
  <si>
    <t>**wskakunin_sekkei8__address</t>
  </si>
  <si>
    <t>cst_wskakunin_sekkei8__address</t>
  </si>
  <si>
    <t>**wskakunin_sekkei8_TEL</t>
  </si>
  <si>
    <t>cst_wskakunin_sekkei8_TEL</t>
  </si>
  <si>
    <t>**wskakunin_sekkei8_DOC</t>
  </si>
  <si>
    <t>cst_wskakunin_sekkei8_DOC</t>
  </si>
  <si>
    <t>設計者9</t>
  </si>
  <si>
    <t>**wskakunin_sekkei9__sikaku</t>
  </si>
  <si>
    <t>cst_wskakunin_sekkei9__sikaku</t>
  </si>
  <si>
    <t>**wskakunin_sekkei9_SIKAKU__label</t>
  </si>
  <si>
    <t>cst_wskakunin_sekkei9_SIKAKU</t>
  </si>
  <si>
    <t>**wskakunin_sekkei9_TOUROKU_KIKAN__label</t>
  </si>
  <si>
    <t>cst_wskakunin_sekkei9_TOUROKU_KIKAN</t>
  </si>
  <si>
    <t>**wskakunin_sekkei9_KENTIKUSI_NO</t>
  </si>
  <si>
    <t>cst_wskakunin_sekkei9_KENTIKUSI_NO</t>
  </si>
  <si>
    <t>**wskakunin_sekkei9_NAME</t>
  </si>
  <si>
    <t>cst_wskakunin_sekkei9_NAME</t>
  </si>
  <si>
    <t>**wskakunin_sekkei9_JIMU__sikaku</t>
  </si>
  <si>
    <t>cst_wskakunin_sekkei9_JIMU__sikaku</t>
  </si>
  <si>
    <t>**wskakunin_sekkei9_JIMU_SIKAKU__label</t>
  </si>
  <si>
    <t>cst_wskakunin_sekkei9_JIMU_SIKAKU</t>
  </si>
  <si>
    <t>**wskakunin_sekkei9_JIMU_TOUROKU_KIKAN__label</t>
  </si>
  <si>
    <t>cst_wskakunin_sekkei9_JIMU_TOUROKU_KIKAN</t>
  </si>
  <si>
    <t>**wskakunin_sekkei9_JIMU_NO</t>
  </si>
  <si>
    <t>cst_wskakunin_sekkei9_JIMU_NO</t>
  </si>
  <si>
    <t>**wskakunin_sekkei9_JIMU_NAME</t>
  </si>
  <si>
    <t>cst_wskakunin_sekkei9_JIMU_NAME</t>
  </si>
  <si>
    <t>cst_wskakunin_sekkei9_jimuname_name</t>
  </si>
  <si>
    <t>**wskakunin_sekkei9_ZIP</t>
  </si>
  <si>
    <t>cst_wskakunin_sekkei9_ZIP</t>
  </si>
  <si>
    <t>**wskakunin_sekkei9__address</t>
  </si>
  <si>
    <t>cst_wskakunin_sekkei9__address</t>
  </si>
  <si>
    <t>**wskakunin_sekkei9_TEL</t>
  </si>
  <si>
    <t>cst_wskakunin_sekkei9_TEL</t>
  </si>
  <si>
    <t>**wskakunin_sekkei9_DOC</t>
  </si>
  <si>
    <t>cst_wskakunin_sekkei9_DOC</t>
  </si>
  <si>
    <t>設計者10</t>
  </si>
  <si>
    <t>**wskakunin_sekkei10__sikaku</t>
  </si>
  <si>
    <t>cst_wskakunin_sekkei10__sikaku</t>
  </si>
  <si>
    <t>**wskakunin_sekkei10_SIKAKU__label</t>
  </si>
  <si>
    <t>cst_wskakunin_sekkei10_SIKAKU</t>
  </si>
  <si>
    <t>**wskakunin_sekkei10_TOUROKU_KIKAN__label</t>
  </si>
  <si>
    <t>cst_wskakunin_sekkei10_TOUROKU_KIKAN</t>
  </si>
  <si>
    <t>**wskakunin_sekkei10_KENTIKUSI_NO</t>
  </si>
  <si>
    <t>cst_wskakunin_sekkei10_KENTIKUSI_NO</t>
  </si>
  <si>
    <t>**wskakunin_sekkei10_NAME</t>
  </si>
  <si>
    <t>cst_wskakunin_sekkei10_NAME</t>
  </si>
  <si>
    <t>**wskakunin_sekkei10_JIMU__sikaku</t>
  </si>
  <si>
    <t>cst_wskakunin_sekkei10_JIMU__sikaku</t>
  </si>
  <si>
    <t>**wskakunin_sekkei10_JIMU_SIKAKU__label</t>
  </si>
  <si>
    <t>cst_wskakunin_sekkei10_JIMU_SIKAKU</t>
  </si>
  <si>
    <t>**wskakunin_sekkei10_JIMU_TOUROKU_KIKAN__label</t>
  </si>
  <si>
    <t>cst_wskakunin_sekkei10_JIMU_TOUROKU_KIKAN</t>
  </si>
  <si>
    <t>**wskakunin_sekkei10_JIMU_NO</t>
  </si>
  <si>
    <t>cst_wskakunin_sekkei10_JIMU_NO</t>
  </si>
  <si>
    <t>**wskakunin_sekkei10_JIMU_NAME</t>
  </si>
  <si>
    <t>cst_wskakunin_sekkei10_JIMU_NAME</t>
  </si>
  <si>
    <t>cst_wskakunin_sekkei10_jimuname_name</t>
  </si>
  <si>
    <t>**wskakunin_sekkei10_ZIP</t>
  </si>
  <si>
    <t>cst_wskakunin_sekkei10_ZIP</t>
  </si>
  <si>
    <t>**wskakunin_sekkei10__address</t>
  </si>
  <si>
    <t>cst_wskakunin_sekkei10__address</t>
  </si>
  <si>
    <t>**wskakunin_sekkei10_TEL</t>
  </si>
  <si>
    <t>cst_wskakunin_sekkei10_TEL</t>
  </si>
  <si>
    <t>**wskakunin_sekkei10_DOC</t>
  </si>
  <si>
    <t>cst_wskakunin_sekkei10_DOC</t>
  </si>
  <si>
    <t>設計者11</t>
  </si>
  <si>
    <t>**wskakunin_sekkei11__sikaku</t>
  </si>
  <si>
    <t>cst_wskakunin_sekkei11__sikaku</t>
  </si>
  <si>
    <t>**wskakunin_sekkei11_SIKAKU__label</t>
  </si>
  <si>
    <t>cst_wskakunin_sekkei11_SIKAKU</t>
  </si>
  <si>
    <t>**wskakunin_sekkei11_TOUROKU_KIKAN__label</t>
  </si>
  <si>
    <t>cst_wskakunin_sekkei11_TOUROKU_KIKAN</t>
  </si>
  <si>
    <t>**wskakunin_sekkei11_KENTIKUSI_NO</t>
  </si>
  <si>
    <t>cst_wskakunin_sekkei11_KENTIKUSI_NO</t>
  </si>
  <si>
    <t>**wskakunin_sekkei11_NAME</t>
  </si>
  <si>
    <t>cst_wskakunin_sekkei11_NAME</t>
  </si>
  <si>
    <t>**wskakunin_sekkei11_JIMU__sikaku</t>
  </si>
  <si>
    <t>cst_wskakunin_sekkei11_JIMU__sikaku</t>
  </si>
  <si>
    <t>**wskakunin_sekkei11_JIMU_SIKAKU__label</t>
  </si>
  <si>
    <t>cst_wskakunin_sekkei11_JIMU_SIKAKU</t>
  </si>
  <si>
    <t>**wskakunin_sekkei11_JIMU_TOUROKU_KIKAN__label</t>
  </si>
  <si>
    <t>cst_wskakunin_sekkei11_JIMU_TOUROKU_KIKAN</t>
  </si>
  <si>
    <t>**wskakunin_sekkei11_JIMU_NO</t>
  </si>
  <si>
    <t>cst_wskakunin_sekkei11_JIMU_NO</t>
  </si>
  <si>
    <t>**wskakunin_sekkei11_JIMU_NAME</t>
  </si>
  <si>
    <t>cst_wskakunin_sekkei11_JIMU_NAME</t>
  </si>
  <si>
    <t>cst_wskakunin_sekkei11_jimuname_name</t>
  </si>
  <si>
    <t>**wskakunin_sekkei11_ZIP</t>
  </si>
  <si>
    <t>cst_wskakunin_sekkei11_ZIP</t>
  </si>
  <si>
    <t>**wskakunin_sekkei11__address</t>
  </si>
  <si>
    <t>cst_wskakunin_sekkei11__address</t>
  </si>
  <si>
    <t>**wskakunin_sekkei11_TEL</t>
  </si>
  <si>
    <t>cst_wskakunin_sekkei11_TEL</t>
  </si>
  <si>
    <t>**wskakunin_sekkei11_DOC</t>
  </si>
  <si>
    <t>cst_wskakunin_sekkei11_DOC</t>
  </si>
  <si>
    <t>設計者12</t>
  </si>
  <si>
    <t>**wskakunin_sekkei12__sikaku</t>
  </si>
  <si>
    <t>cst_wskakunin_sekkei12__sikaku</t>
  </si>
  <si>
    <t>**wskakunin_sekkei12_SIKAKU__label</t>
  </si>
  <si>
    <t>cst_wskakunin_sekkei12_SIKAKU</t>
  </si>
  <si>
    <t>**wskakunin_sekkei12_TOUROKU_KIKAN__label</t>
  </si>
  <si>
    <t>cst_wskakunin_sekkei12_TOUROKU_KIKAN</t>
  </si>
  <si>
    <t>**wskakunin_sekkei12_KENTIKUSI_NO</t>
  </si>
  <si>
    <t>cst_wskakunin_sekkei12_KENTIKUSI_NO</t>
  </si>
  <si>
    <t>**wskakunin_sekkei12_NAME</t>
  </si>
  <si>
    <t>cst_wskakunin_sekkei12_NAME</t>
  </si>
  <si>
    <t>**wskakunin_sekkei12_JIMU__sikaku</t>
  </si>
  <si>
    <t>cst_wskakunin_sekkei12_JIMU__sikaku</t>
  </si>
  <si>
    <t>**wskakunin_sekkei12_JIMU_SIKAKU__label</t>
  </si>
  <si>
    <t>cst_wskakunin_sekkei12_JIMU_SIKAKU</t>
  </si>
  <si>
    <t>**wskakunin_sekkei12_JIMU_TOUROKU_KIKAN__label</t>
  </si>
  <si>
    <t>cst_wskakunin_sekkei12_JIMU_TOUROKU_KIKAN</t>
  </si>
  <si>
    <t>**wskakunin_sekkei12_JIMU_NO</t>
  </si>
  <si>
    <t>cst_wskakunin_sekkei12_JIMU_NO</t>
  </si>
  <si>
    <t>**wskakunin_sekkei12_JIMU_NAME</t>
  </si>
  <si>
    <t>cst_wskakunin_sekkei12_JIMU_NAME</t>
  </si>
  <si>
    <t>cst_wskakunin_sekkei12_jimuname_name</t>
  </si>
  <si>
    <t>**wskakunin_sekkei12_ZIP</t>
  </si>
  <si>
    <t>cst_wskakunin_sekkei12_ZIP</t>
  </si>
  <si>
    <t>**wskakunin_sekkei12__address</t>
  </si>
  <si>
    <t>cst_wskakunin_sekkei12__address</t>
  </si>
  <si>
    <t>**wskakunin_sekkei12_TEL</t>
  </si>
  <si>
    <t>cst_wskakunin_sekkei12_TEL</t>
  </si>
  <si>
    <t>**wskakunin_sekkei12_DOC</t>
  </si>
  <si>
    <t>cst_wskakunin_sekkei12_DOC</t>
  </si>
  <si>
    <t>（構造設計一級建築士又は設備設計一級建築士である旨の表示をした者）</t>
  </si>
  <si>
    <t>建築士法第20条の２第１項の表示をした者</t>
  </si>
  <si>
    <t>【ｲ.氏名】</t>
  </si>
  <si>
    <t>**wskakunin_20kouzou101_NAME</t>
  </si>
  <si>
    <t>cst_wskakunin_20kouzou101_NAME</t>
  </si>
  <si>
    <t>【ﾛ.資格】構造設計一級建築士交付番号</t>
  </si>
  <si>
    <t>**wskakunin_20kouzou101_KOUZOUSEKKEI_KOUFU_NO</t>
  </si>
  <si>
    <t>cst_wskakunin_20kouzou101_KOUZOUSEKKEI_KOUFU_NO</t>
  </si>
  <si>
    <t>**wskakunin_20kouzou102_NAME</t>
  </si>
  <si>
    <t>cst_wskakunin_20kouzou102_NAME</t>
  </si>
  <si>
    <t>**wskakunin_20kouzou102_KOUZOUSEKKEI_KOUFU_NO</t>
  </si>
  <si>
    <t>cst_wskakunin_20kouzou102_KOUZOUSEKKEI_KOUFU_NO</t>
  </si>
  <si>
    <t>**wskakunin_20kouzou103_NAME</t>
  </si>
  <si>
    <t>cst_wskakunin_20kouzou103_NAME</t>
  </si>
  <si>
    <t>**wskakunin_20kouzou103_KOUZOUSEKKEI_KOUFU_NO</t>
  </si>
  <si>
    <t>cst_wskakunin_20kouzou103_KOUZOUSEKKEI_KOUFU_NO</t>
  </si>
  <si>
    <t>**wskakunin_20kouzou104_NAME</t>
  </si>
  <si>
    <t>cst_wskakunin_20kouzou104_NAME</t>
  </si>
  <si>
    <t>**wskakunin_20kouzou104_KOUZOUSEKKEI_KOUFU_NO</t>
  </si>
  <si>
    <t>cst_wskakunin_20kouzou104_KOUZOUSEKKEI_KOUFU_NO</t>
  </si>
  <si>
    <t>**wskakunin_20kouzou105_NAME</t>
  </si>
  <si>
    <t>cst_wskakunin_20kouzou105_NAME</t>
  </si>
  <si>
    <t>**wskakunin_20kouzou105_KOUZOUSEKKEI_KOUFU_NO</t>
  </si>
  <si>
    <t>cst_wskakunin_20kouzou105_KOUZOUSEKKEI_KOUFU_NO</t>
  </si>
  <si>
    <t>建築士法第20条の２第３項の表示をした者</t>
  </si>
  <si>
    <t>**wskakunin_20kouzou301_NAME</t>
  </si>
  <si>
    <t>cst_wskakunin_20kouzou301_NAME</t>
  </si>
  <si>
    <t>**wskakunin_20kouzou301_KOUZOUSEKKEI_KOUFU_NO</t>
  </si>
  <si>
    <t>cst_wskakunin_20kouzou301_KOUZOUSEKKEI_KOUFU_NO</t>
  </si>
  <si>
    <t>**wskakunin_20kouzou302_NAME</t>
  </si>
  <si>
    <t>cst_wskakunin_20kouzou302_NAME</t>
  </si>
  <si>
    <t>**wskakunin_20kouzou302_KOUZOUSEKKEI_KOUFU_NO</t>
  </si>
  <si>
    <t>cst_wskakunin_20kouzou302_KOUZOUSEKKEI_KOUFU_NO</t>
  </si>
  <si>
    <t>**wskakunin_20kouzou303_NAME</t>
  </si>
  <si>
    <t>cst_wskakunin_20kouzou303_NAME</t>
  </si>
  <si>
    <t>**wskakunin_20kouzou303_KOUZOUSEKKEI_KOUFU_NO</t>
  </si>
  <si>
    <t>cst_wskakunin_20kouzou303_KOUZOUSEKKEI_KOUFU_NO</t>
  </si>
  <si>
    <t>**wskakunin_20kouzou304_NAME</t>
  </si>
  <si>
    <t>cst_wskakunin_20kouzou304_NAME</t>
  </si>
  <si>
    <t>**wskakunin_20kouzou304_KOUZOUSEKKEI_KOUFU_NO</t>
  </si>
  <si>
    <t>cst_wskakunin_20kouzou304_KOUZOUSEKKEI_KOUFU_NO</t>
  </si>
  <si>
    <t>**wskakunin_20kouzou305_NAME</t>
  </si>
  <si>
    <t>cst_wskakunin_20kouzou305_NAME</t>
  </si>
  <si>
    <t>**wskakunin_20kouzou305_KOUZOUSEKKEI_KOUFU_NO</t>
  </si>
  <si>
    <t>cst_wskakunin_20kouzou305_KOUZOUSEKKEI_KOUFU_NO</t>
  </si>
  <si>
    <t>建築士法第20条の３第１項の表示をした者</t>
  </si>
  <si>
    <t>**wskakunin_20setubi101_NAME</t>
  </si>
  <si>
    <t>cst_wskakunin_20setubi101_NAME</t>
  </si>
  <si>
    <t>【ﾛ.資格】設備設計一級建築士交付番号</t>
  </si>
  <si>
    <t>**wskakunin_20setubi101_SETUBISEKKEI_KOUFU_NO</t>
  </si>
  <si>
    <t>cst_wskakunin_20setubi101_SETUBISEKKEI_KOUFU_NO</t>
  </si>
  <si>
    <t>**wskakunin_20setubi102_NAME</t>
  </si>
  <si>
    <t>cst_wskakunin_20setubi102_NAME</t>
  </si>
  <si>
    <t>**wskakunin_20setubi102_SETUBISEKKEI_KOUFU_NO</t>
  </si>
  <si>
    <t>cst_wskakunin_20setubi102_SETUBISEKKEI_KOUFU_NO</t>
  </si>
  <si>
    <t>**wskakunin_20setubi103_NAME</t>
  </si>
  <si>
    <t>cst_wskakunin_20setubi103_NAME</t>
  </si>
  <si>
    <t>**wskakunin_20setubi103_SETUBISEKKEI_KOUFU_NO</t>
  </si>
  <si>
    <t>cst_wskakunin_20setubi103_SETUBISEKKEI_KOUFU_NO</t>
  </si>
  <si>
    <t>**wskakunin_20setubi104_NAME</t>
  </si>
  <si>
    <t>cst_wskakunin_20setubi104_NAME</t>
  </si>
  <si>
    <t>**wskakunin_20setubi104_SETUBISEKKEI_KOUFU_NO</t>
  </si>
  <si>
    <t>cst_wskakunin_20setubi104_SETUBISEKKEI_KOUFU_NO</t>
  </si>
  <si>
    <t>**wskakunin_20setubi105_NAME</t>
  </si>
  <si>
    <t>cst_wskakunin_20setubi105_NAME</t>
  </si>
  <si>
    <t>**wskakunin_20setubi105_SETUBISEKKEI_KOUFU_NO</t>
  </si>
  <si>
    <t>cst_wskakunin_20setubi105_SETUBISEKKEI_KOUFU_NO</t>
  </si>
  <si>
    <t>建築士法第20条の３第３項の表示をした者</t>
  </si>
  <si>
    <t>**wskakunin_20setubi301_NAME</t>
  </si>
  <si>
    <t>cst_wskakunin_20setubi301_NAME</t>
  </si>
  <si>
    <t>**wskakunin_20setubi301_SETUBISEKKEI_KOUFU_NO</t>
  </si>
  <si>
    <t>cst_wskakunin_20setubi301_SETUBISEKKEI_KOUFU_NO</t>
  </si>
  <si>
    <t>**wskakunin_20setubi302_NAME</t>
  </si>
  <si>
    <t>cst_wskakunin_20setubi302_NAME</t>
  </si>
  <si>
    <t>**wskakunin_20setubi302_SETUBISEKKEI_KOUFU_NO</t>
  </si>
  <si>
    <t>cst_wskakunin_20setubi302_SETUBISEKKEI_KOUFU_NO</t>
  </si>
  <si>
    <t>**wskakunin_20setubi303_NAME</t>
  </si>
  <si>
    <t>cst_wskakunin_20setubi303_NAME</t>
  </si>
  <si>
    <t>**wskakunin_20setubi303_SETUBISEKKEI_KOUFU_NO</t>
  </si>
  <si>
    <t>cst_wskakunin_20setubi303_SETUBISEKKEI_KOUFU_NO</t>
  </si>
  <si>
    <t>**wskakunin_20setubi304_NAME</t>
  </si>
  <si>
    <t>cst_wskakunin_20setubi304_NAME</t>
  </si>
  <si>
    <t>**wskakunin_20setubi304_SETUBISEKKEI_KOUFU_NO</t>
  </si>
  <si>
    <t>cst_wskakunin_20setubi304_SETUBISEKKEI_KOUFU_NO</t>
  </si>
  <si>
    <t>**wskakunin_20setubi305_NAME</t>
  </si>
  <si>
    <t>cst_wskakunin_20setubi305_NAME</t>
  </si>
  <si>
    <t>**wskakunin_20setubi305_SETUBISEKKEI_KOUFU_NO</t>
  </si>
  <si>
    <t>cst_wskakunin_20setubi305_SETUBISEKKEI_KOUFU_NO</t>
  </si>
  <si>
    <t>【4.建築設備の設計に関し意見を聴いた者】</t>
  </si>
  <si>
    <t>（代表となる建築設備の設計に関し意見を聴いた者）</t>
  </si>
  <si>
    <t>**wskakunin_iken1_NAME</t>
  </si>
  <si>
    <t>cst_wskakunin_iken1_NAME</t>
  </si>
  <si>
    <t>【ﾛ.勤務先】</t>
  </si>
  <si>
    <t>**wskakunin_iken1_JIMU_NAME</t>
  </si>
  <si>
    <t>cst_wskakunin_iken1_JIMU_NAME</t>
  </si>
  <si>
    <t>【ﾊ.郵便番号】</t>
  </si>
  <si>
    <t>**wskakunin_iken1_ZIP</t>
  </si>
  <si>
    <t>cst_wskakunin_iken1_ZIP</t>
  </si>
  <si>
    <t>【ﾆ.所在地】</t>
  </si>
  <si>
    <t>**wskakunin_iken1__address</t>
  </si>
  <si>
    <t>cst_wskakunin_iken1__address</t>
  </si>
  <si>
    <t>【ﾎ.電話番号】</t>
  </si>
  <si>
    <t>**wskakunin_iken1_TEL</t>
  </si>
  <si>
    <t>cst_wskakunin_iken1_TEL</t>
  </si>
  <si>
    <t>【ﾍ.登録番号】</t>
  </si>
  <si>
    <t>**wskakunin_iken1_IKEN_NO</t>
  </si>
  <si>
    <t>cst_wskakunin_iken1_IKEN_NO</t>
  </si>
  <si>
    <t>【ﾄ.意見を聴いた設計図書】</t>
  </si>
  <si>
    <t>**wskakunin_iken1_DOC</t>
  </si>
  <si>
    <t>cst_wskakunin_iken1_DOC</t>
  </si>
  <si>
    <t>（その他の建築設備の設計に関し意見を聴いた者１）</t>
  </si>
  <si>
    <t>**wskakunin_iken2_NAME</t>
  </si>
  <si>
    <t>cst_wskakunin_iken2_NAME</t>
  </si>
  <si>
    <t>**wskakunin_iken2_JIMU_NAME</t>
  </si>
  <si>
    <t>cst_wskakunin_iken2_JIMU_NAME</t>
  </si>
  <si>
    <t>**wskakunin_iken2_ZIP</t>
  </si>
  <si>
    <t>cst_wskakunin_iken2_ZIP</t>
  </si>
  <si>
    <t>**wskakunin_iken2__address</t>
  </si>
  <si>
    <t>cst_wskakunin_iken2__address</t>
  </si>
  <si>
    <t>**wskakunin_iken2_TEL</t>
  </si>
  <si>
    <t>cst_wskakunin_iken2_TEL</t>
  </si>
  <si>
    <t>**wskakunin_iken2_IKEN_NO</t>
  </si>
  <si>
    <t>cst_wskakunin_iken2_IKEN_NO</t>
  </si>
  <si>
    <t>**wskakunin_iken2_DOC</t>
  </si>
  <si>
    <t>cst_wskakunin_iken2_DOC</t>
  </si>
  <si>
    <t>（その他の建築設備の設計に関し意見を聴いた者２）</t>
  </si>
  <si>
    <t>**wskakunin_iken3_NAME</t>
  </si>
  <si>
    <t>cst_wskakunin_iken3_NAME</t>
  </si>
  <si>
    <t>**wskakunin_iken3_JIMU_NAME</t>
  </si>
  <si>
    <t>cst_wskakunin_iken3_JIMU_NAME</t>
  </si>
  <si>
    <t>**wskakunin_iken3_ZIP</t>
  </si>
  <si>
    <t>cst_wskakunin_iken3_ZIP</t>
  </si>
  <si>
    <t>**wskakunin_iken3__address</t>
  </si>
  <si>
    <t>cst_wskakunin_iken3__address</t>
  </si>
  <si>
    <t>**wskakunin_iken3_TEL</t>
  </si>
  <si>
    <t>cst_wskakunin_iken3_TEL</t>
  </si>
  <si>
    <t>**wskakunin_iken3_IKEN_NO</t>
  </si>
  <si>
    <t>cst_wskakunin_iken3_IKEN_NO</t>
  </si>
  <si>
    <t>**wskakunin_iken3_DOC</t>
  </si>
  <si>
    <t>cst_wskakunin_iken3_DOC</t>
  </si>
  <si>
    <t>（その他の建築設備の設計に関し意見を聴いた者３）</t>
  </si>
  <si>
    <t>**wskakunin_iken4_NAME</t>
  </si>
  <si>
    <t>cst_wskakunin_iken4_NAME</t>
  </si>
  <si>
    <t>**wskakunin_iken4_JIMU_NAME</t>
  </si>
  <si>
    <t>cst_wskakunin_iken4_JIMU_NAME</t>
  </si>
  <si>
    <t>**wskakunin_iken4_ZIP</t>
  </si>
  <si>
    <t>cst_wskakunin_iken4_ZIP</t>
  </si>
  <si>
    <t>**wskakunin_iken4__address</t>
  </si>
  <si>
    <t>cst_wskakunin_iken4__address</t>
  </si>
  <si>
    <t>**wskakunin_iken4_TEL</t>
  </si>
  <si>
    <t>cst_wskakunin_iken4_TEL</t>
  </si>
  <si>
    <t>**wskakunin_iken4_IKEN_NO</t>
  </si>
  <si>
    <t>cst_wskakunin_iken4_IKEN_NO</t>
  </si>
  <si>
    <t>**wskakunin_iken4_DOC</t>
  </si>
  <si>
    <t>cst_wskakunin_iken4_DOC</t>
  </si>
  <si>
    <t>（その他の建築設備の設計に関し意見を聴いた者４）</t>
  </si>
  <si>
    <t>**wskakunin_iken5_NAME</t>
  </si>
  <si>
    <t>cst_wskakunin_iken5_NAME</t>
  </si>
  <si>
    <t>**wskakunin_iken5_JIMU_NAME</t>
  </si>
  <si>
    <t>cst_wskakunin_iken5_JIMU_NAME</t>
  </si>
  <si>
    <t>**wskakunin_iken5_ZIP</t>
  </si>
  <si>
    <t>cst_wskakunin_iken5_ZIP</t>
  </si>
  <si>
    <t>**wskakunin_iken5__address</t>
  </si>
  <si>
    <t>cst_wskakunin_iken5__address</t>
  </si>
  <si>
    <t>**wskakunin_iken5_TEL</t>
  </si>
  <si>
    <t>cst_wskakunin_iken5_TEL</t>
  </si>
  <si>
    <t>**wskakunin_iken5_IKEN_NO</t>
  </si>
  <si>
    <t>cst_wskakunin_iken5_IKEN_NO</t>
  </si>
  <si>
    <t>**wskakunin_iken5_DOC</t>
  </si>
  <si>
    <t>cst_wskakunin_iken5_DOC</t>
  </si>
  <si>
    <t>監理者1</t>
  </si>
  <si>
    <t>（代表となる工事監理者）</t>
  </si>
  <si>
    <t>**wskakunin_kanri1__sikaku</t>
  </si>
  <si>
    <t>cst_wskakunin_kanri1__sikaku</t>
  </si>
  <si>
    <t>**wskakunin_kanri1_SIKAKU__label</t>
  </si>
  <si>
    <t>cst_wskakunin_kanri1_SIKAKU</t>
  </si>
  <si>
    <t>**wskakunin_kanri1_TOUROKU_KIKAN__label</t>
  </si>
  <si>
    <t>cst_wskakunin_kanri1_TOUROKU_KIKAN</t>
  </si>
  <si>
    <t>**wskakunin_kanri1_KENTIKUSI_NO</t>
  </si>
  <si>
    <t>cst_wskakunin_kanri1_KENTIKUSI_NO</t>
  </si>
  <si>
    <t>**wskakunin_kanri1_NAME</t>
  </si>
  <si>
    <t>cst_wskakunin_kanri1_NAME</t>
  </si>
  <si>
    <t>**wskakunin_kanri1_JIMU__sikaku</t>
  </si>
  <si>
    <t>cst_wskakunin_kanri1_JIMU__sikaku</t>
  </si>
  <si>
    <t>**wskakunin_kanri1_JIMU_SIKAKU__label</t>
  </si>
  <si>
    <t>cst_wskakunin_kanri1_JIMU_SIKAKU</t>
  </si>
  <si>
    <t>**wskakunin_kanri1_JIMU_TOUROKU_KIKAN__label</t>
  </si>
  <si>
    <t>cst_wskakunin_kanri1_JIMU_TOUROKU_KIKAN</t>
  </si>
  <si>
    <t>**wskakunin_kanri1_JIMU_NO</t>
  </si>
  <si>
    <t>cst_wskakunin_kanri1_JIMU_NO</t>
  </si>
  <si>
    <t>**wskakunin_kanri1_JIMU_NAME</t>
  </si>
  <si>
    <t>cst_wskakunin_kanri1_JIMU_NAME</t>
  </si>
  <si>
    <t>**wskakunin_kanri1_ZIP</t>
  </si>
  <si>
    <t>cst_wskakunin_kanri1_ZIP</t>
  </si>
  <si>
    <t>cst_wskakunin_kanri1_ZIP2</t>
  </si>
  <si>
    <t>**wskakunin_kanri1__address</t>
  </si>
  <si>
    <t>cst_wskakunin_kanri1__address</t>
  </si>
  <si>
    <t>**wskakunin_kanri1_TEL</t>
  </si>
  <si>
    <t>cst_wskakunin_kanri1_TEL</t>
  </si>
  <si>
    <t>cst_wskakunin_kanri1_TEL_dsp</t>
  </si>
  <si>
    <t>**wskakunin_kanri1_DOC</t>
  </si>
  <si>
    <t>cst_wskakunin_kanri1_DOC</t>
  </si>
  <si>
    <t>監理者2</t>
  </si>
  <si>
    <t>（その他の工事監理者）</t>
  </si>
  <si>
    <t>**wskakunin_kanri2__sikaku</t>
  </si>
  <si>
    <t>cst_wskakunin_kanri2__sikaku</t>
  </si>
  <si>
    <t>**wskakunin_kanri2_SIKAKU__label</t>
  </si>
  <si>
    <t>cst_wskakunin_kanri2_SIKAKU</t>
  </si>
  <si>
    <t>**wskakunin_kanri2_TOUROKU_KIKAN__label</t>
  </si>
  <si>
    <t>cst_wskakunin_kanri2_TOUROKU_KIKAN</t>
  </si>
  <si>
    <t>**wskakunin_kanri2_KENTIKUSI_NO</t>
  </si>
  <si>
    <t>cst_wskakunin_kanri2_KENTIKUSI_NO</t>
  </si>
  <si>
    <t>**wskakunin_kanri2_NAME</t>
  </si>
  <si>
    <t>cst_wskakunin_kanri2_NAME</t>
  </si>
  <si>
    <t>**wskakunin_kanri2_JIMU__sikaku</t>
  </si>
  <si>
    <t>cst_wskakunin_kanri2_JIMU__sikaku</t>
  </si>
  <si>
    <t>**wskakunin_kanri2_JIMU_SIKAKU__label</t>
  </si>
  <si>
    <t>cst_wskakunin_kanri2_JIMU_SIKAKU</t>
  </si>
  <si>
    <t>**wskakunin_kanri2_JIMU_TOUROKU_KIKAN__label</t>
  </si>
  <si>
    <t>cst_wskakunin_kanri2_JIMU_TOUROKU_KIKAN</t>
  </si>
  <si>
    <t>**wskakunin_kanri2_JIMU_NO</t>
  </si>
  <si>
    <t>cst_wskakunin_kanri2_JIMU_NO</t>
  </si>
  <si>
    <t>**wskakunin_kanri2_JIMU_NAME</t>
  </si>
  <si>
    <t>cst_wskakunin_kanri2_JIMU_NAME</t>
  </si>
  <si>
    <t>**wskakunin_kanri2_ZIP</t>
  </si>
  <si>
    <t>cst_wskakunin_kanri2_ZIP</t>
  </si>
  <si>
    <t>**wskakunin_kanri2__address</t>
  </si>
  <si>
    <t>cst_wskakunin_kanri2__address</t>
  </si>
  <si>
    <t>**wskakunin_kanri2_TEL</t>
  </si>
  <si>
    <t>cst_wskakunin_kanri2_TEL</t>
  </si>
  <si>
    <t>**wskakunin_kanri2_DOC</t>
  </si>
  <si>
    <t>cst_wskakunin_kanri2_DOC</t>
  </si>
  <si>
    <t>監理者3</t>
  </si>
  <si>
    <t>**wskakunin_kanri3__sikaku</t>
  </si>
  <si>
    <t>cst_wskakunin_kanri3__sikaku</t>
  </si>
  <si>
    <t>**wskakunin_kanri3_SIKAKU__label</t>
  </si>
  <si>
    <t>cst_wskakunin_kanri3_SIKAKU</t>
  </si>
  <si>
    <t>**wskakunin_kanri3_TOUROKU_KIKAN__label</t>
  </si>
  <si>
    <t>cst_wskakunin_kanri3_TOUROKU_KIKAN</t>
  </si>
  <si>
    <t>**wskakunin_kanri3_KENTIKUSI_NO</t>
  </si>
  <si>
    <t>cst_wskakunin_kanri3_KENTIKUSI_NO</t>
  </si>
  <si>
    <t>**wskakunin_kanri3_NAME</t>
  </si>
  <si>
    <t>cst_wskakunin_kanri3_NAME</t>
  </si>
  <si>
    <t>**wskakunin_kanri3_JIMU__sikaku</t>
  </si>
  <si>
    <t>cst_wskakunin_kanri3_JIMU__sikaku</t>
  </si>
  <si>
    <t>**wskakunin_kanri3_JIMU_SIKAKU__label</t>
  </si>
  <si>
    <t>cst_wskakunin_kanri3_JIMU_SIKAKU</t>
  </si>
  <si>
    <t>**wskakunin_kanri3_JIMU_TOUROKU_KIKAN__label</t>
  </si>
  <si>
    <t>cst_wskakunin_kanri3_JIMU_TOUROKU_KIKAN</t>
  </si>
  <si>
    <t>**wskakunin_kanri3_JIMU_NO</t>
  </si>
  <si>
    <t>cst_wskakunin_kanri3_JIMU_NO</t>
  </si>
  <si>
    <t>**wskakunin_kanri3_JIMU_NAME</t>
  </si>
  <si>
    <t>cst_wskakunin_kanri3_JIMU_NAME</t>
  </si>
  <si>
    <t>**wskakunin_kanri3_ZIP</t>
  </si>
  <si>
    <t>cst_wskakunin_kanri3_ZIP</t>
  </si>
  <si>
    <t>**wskakunin_kanri3__address</t>
  </si>
  <si>
    <t>cst_wskakunin_kanri3__address</t>
  </si>
  <si>
    <t>**wskakunin_kanri3_TEL</t>
  </si>
  <si>
    <t>cst_wskakunin_kanri3_TEL</t>
  </si>
  <si>
    <t>**wskakunin_kanri3_DOC</t>
  </si>
  <si>
    <t>cst_wskakunin_kanri3_DOC</t>
  </si>
  <si>
    <t>監理者4</t>
  </si>
  <si>
    <t>**wskakunin_kanri4__sikaku</t>
  </si>
  <si>
    <t>cst_wskakunin_kanri4__sikaku</t>
  </si>
  <si>
    <t>**wskakunin_kanri4_SIKAKU__label</t>
  </si>
  <si>
    <t>cst_wskakunin_kanri4_SIKAKU</t>
  </si>
  <si>
    <t>**wskakunin_kanri4_TOUROKU_KIKAN__label</t>
  </si>
  <si>
    <t>cst_wskakunin_kanri4_TOUROKU_KIKAN</t>
  </si>
  <si>
    <t>**wskakunin_kanri4_KENTIKUSI_NO</t>
  </si>
  <si>
    <t>cst_wskakunin_kanri4_KENTIKUSI_NO</t>
  </si>
  <si>
    <t>**wskakunin_kanri4_NAME</t>
  </si>
  <si>
    <t>cst_wskakunin_kanri4_NAME</t>
  </si>
  <si>
    <t>**wskakunin_kanri4_JIMU__sikaku</t>
  </si>
  <si>
    <t>cst_wskakunin_kanri4_JIMU__sikaku</t>
  </si>
  <si>
    <t>**wskakunin_kanri4_JIMU_SIKAKU__label</t>
  </si>
  <si>
    <t>cst_wskakunin_kanri4_JIMU_SIKAKU</t>
  </si>
  <si>
    <t>**wskakunin_kanri4_JIMU_TOUROKU_KIKAN__label</t>
  </si>
  <si>
    <t>cst_wskakunin_kanri4_JIMU_TOUROKU_KIKAN</t>
  </si>
  <si>
    <t>**wskakunin_kanri4_JIMU_NO</t>
  </si>
  <si>
    <t>cst_wskakunin_kanri4_JIMU_NO</t>
  </si>
  <si>
    <t>**wskakunin_kanri4_JIMU_NAME</t>
  </si>
  <si>
    <t>cst_wskakunin_kanri4_JIMU_NAME</t>
  </si>
  <si>
    <t>**wskakunin_kanri4_ZIP</t>
  </si>
  <si>
    <t>cst_wskakunin_kanri4_ZIP</t>
  </si>
  <si>
    <t>**wskakunin_kanri4__address</t>
  </si>
  <si>
    <t>cst_wskakunin_kanri4__address</t>
  </si>
  <si>
    <t>**wskakunin_kanri4_TEL</t>
  </si>
  <si>
    <t>cst_wskakunin_kanri4_TEL</t>
  </si>
  <si>
    <t>**wskakunin_kanri4_DOC</t>
  </si>
  <si>
    <t>cst_wskakunin_kanri4_DOC</t>
  </si>
  <si>
    <t>監理者5</t>
  </si>
  <si>
    <t>**wskakunin_kanri5__sikaku</t>
  </si>
  <si>
    <t>cst_wskakunin_kanri5__sikaku</t>
  </si>
  <si>
    <t>**wskakunin_kanri5_SIKAKU__label</t>
  </si>
  <si>
    <t>cst_wskakunin_kanri5_SIKAKU</t>
  </si>
  <si>
    <t>**wskakunin_kanri5_TOUROKU_KIKAN__label</t>
  </si>
  <si>
    <t>cst_wskakunin_kanri5_TOUROKU_KIKAN</t>
  </si>
  <si>
    <t>**wskakunin_kanri5_KENTIKUSI_NO</t>
  </si>
  <si>
    <t>cst_wskakunin_kanri5_KENTIKUSI_NO</t>
  </si>
  <si>
    <t>**wskakunin_kanri5_NAME</t>
  </si>
  <si>
    <t>cst_wskakunin_kanri5_NAME</t>
  </si>
  <si>
    <t>**wskakunin_kanri5_JIMU__sikaku</t>
  </si>
  <si>
    <t>cst_wskakunin_kanri5_JIMU__sikaku</t>
  </si>
  <si>
    <t>**wskakunin_kanri5_JIMU_SIKAKU__label</t>
  </si>
  <si>
    <t>cst_wskakunin_kanri5_JIMU_SIKAKU</t>
  </si>
  <si>
    <t>**wskakunin_kanri5_JIMU_TOUROKU_KIKAN__label</t>
  </si>
  <si>
    <t>cst_wskakunin_kanri5_JIMU_TOUROKU_KIKAN</t>
  </si>
  <si>
    <t>**wskakunin_kanri5_JIMU_NO</t>
  </si>
  <si>
    <t>cst_wskakunin_kanri5_JIMU_NO</t>
  </si>
  <si>
    <t>**wskakunin_kanri5_JIMU_NAME</t>
  </si>
  <si>
    <t>cst_wskakunin_kanri5_JIMU_NAME</t>
  </si>
  <si>
    <t>**wskakunin_kanri5_ZIP</t>
  </si>
  <si>
    <t>cst_wskakunin_kanri5_ZIP</t>
  </si>
  <si>
    <t>**wskakunin_kanri5__address</t>
  </si>
  <si>
    <t>cst_wskakunin_kanri5__address</t>
  </si>
  <si>
    <t>**wskakunin_kanri5_TEL</t>
  </si>
  <si>
    <t>cst_wskakunin_kanri5_TEL</t>
  </si>
  <si>
    <t>**wskakunin_kanri5_DOC</t>
  </si>
  <si>
    <t>cst_wskakunin_kanri5_DOC</t>
  </si>
  <si>
    <t>監理者6</t>
  </si>
  <si>
    <t>**wskakunin_kanri6__sikaku</t>
  </si>
  <si>
    <t>cst_wskakunin_kanri6__sikaku</t>
  </si>
  <si>
    <t>**wskakunin_kanri6_SIKAKU__label</t>
  </si>
  <si>
    <t>cst_wskakunin_kanri6_SIKAKU</t>
  </si>
  <si>
    <t>**wskakunin_kanri6_TOUROKU_KIKAN__label</t>
  </si>
  <si>
    <t>cst_wskakunin_kanri6_TOUROKU_KIKAN</t>
  </si>
  <si>
    <t>**wskakunin_kanri6_KENTIKUSI_NO</t>
  </si>
  <si>
    <t>cst_wskakunin_kanri6_KENTIKUSI_NO</t>
  </si>
  <si>
    <t>**wskakunin_kanri6_NAME</t>
  </si>
  <si>
    <t>cst_wskakunin_kanri6_NAME</t>
  </si>
  <si>
    <t>**wskakunin_kanri6_JIMU__sikaku</t>
  </si>
  <si>
    <t>cst_wskakunin_kanri6_JIMU__sikaku</t>
  </si>
  <si>
    <t>**wskakunin_kanri6_JIMU_SIKAKU__label</t>
  </si>
  <si>
    <t>cst_wskakunin_kanri6_JIMU_SIKAKU</t>
  </si>
  <si>
    <t>**wskakunin_kanri6_JIMU_TOUROKU_KIKAN__label</t>
  </si>
  <si>
    <t>cst_wskakunin_kanri6_JIMU_TOUROKU_KIKAN</t>
  </si>
  <si>
    <t>**wskakunin_kanri6_JIMU_NO</t>
  </si>
  <si>
    <t>cst_wskakunin_kanri6_JIMU_NO</t>
  </si>
  <si>
    <t>**wskakunin_kanri6_JIMU_NAME</t>
  </si>
  <si>
    <t>cst_wskakunin_kanri6_JIMU_NAME</t>
  </si>
  <si>
    <t>**wskakunin_kanri6_ZIP</t>
  </si>
  <si>
    <t>cst_wskakunin_kanri6_ZIP</t>
  </si>
  <si>
    <t>**wskakunin_kanri6__address</t>
  </si>
  <si>
    <t>cst_wskakunin_kanri6__address</t>
  </si>
  <si>
    <t>**wskakunin_kanri6_TEL</t>
  </si>
  <si>
    <t>cst_wskakunin_kanri6_TEL</t>
  </si>
  <si>
    <t>**wskakunin_kanri6_DOC</t>
  </si>
  <si>
    <t>cst_wskakunin_kanri6_DOC</t>
  </si>
  <si>
    <t>監理者7</t>
  </si>
  <si>
    <t>**wskakunin_kanri7__sikaku</t>
  </si>
  <si>
    <t>cst_wskakunin_kanri7__sikaku</t>
  </si>
  <si>
    <t>**wskakunin_kanri7_SIKAKU__label</t>
  </si>
  <si>
    <t>cst_wskakunin_kanri7_SIKAKU</t>
  </si>
  <si>
    <t>**wskakunin_kanri7_TOUROKU_KIKAN__label</t>
  </si>
  <si>
    <t>cst_wskakunin_kanri7_TOUROKU_KIKAN</t>
  </si>
  <si>
    <t>**wskakunin_kanri7_KENTIKUSI_NO</t>
  </si>
  <si>
    <t>cst_wskakunin_kanri7_KENTIKUSI_NO</t>
  </si>
  <si>
    <t>**wskakunin_kanri7_NAME</t>
  </si>
  <si>
    <t>cst_wskakunin_kanri7_NAME</t>
  </si>
  <si>
    <t>**wskakunin_kanri7_JIMU__sikaku</t>
  </si>
  <si>
    <t>cst_wskakunin_kanri7_JIMU__sikaku</t>
  </si>
  <si>
    <t>**wskakunin_kanri7_JIMU_SIKAKU__label</t>
  </si>
  <si>
    <t>cst_wskakunin_kanri7_JIMU_SIKAKU</t>
  </si>
  <si>
    <t>**wskakunin_kanri7_JIMU_TOUROKU_KIKAN__label</t>
  </si>
  <si>
    <t>cst_wskakunin_kanri7_JIMU_TOUROKU_KIKAN</t>
  </si>
  <si>
    <t>**wskakunin_kanri7_JIMU_NO</t>
  </si>
  <si>
    <t>cst_wskakunin_kanri7_JIMU_NO</t>
  </si>
  <si>
    <t>**wskakunin_kanri7_JIMU_NAME</t>
  </si>
  <si>
    <t>cst_wskakunin_kanri7_JIMU_NAME</t>
  </si>
  <si>
    <t>**wskakunin_kanri7_ZIP</t>
  </si>
  <si>
    <t>cst_wskakunin_kanri7_ZIP</t>
  </si>
  <si>
    <t>**wskakunin_kanri7__address</t>
  </si>
  <si>
    <t>cst_wskakunin_kanri7__address</t>
  </si>
  <si>
    <t>**wskakunin_kanri7_TEL</t>
  </si>
  <si>
    <t>cst_wskakunin_kanri7_TEL</t>
  </si>
  <si>
    <t>**wskakunin_kanri7_DOC</t>
  </si>
  <si>
    <t>cst_wskakunin_kanri7_DOC</t>
  </si>
  <si>
    <t>監理者8</t>
  </si>
  <si>
    <t>**wskakunin_kanri8__sikaku</t>
  </si>
  <si>
    <t>cst_wskakunin_kanri8__sikaku</t>
  </si>
  <si>
    <t>**wskakunin_kanri8_SIKAKU__label</t>
  </si>
  <si>
    <t>cst_wskakunin_kanri8_SIKAKU</t>
  </si>
  <si>
    <t>**wskakunin_kanri8_TOUROKU_KIKAN__label</t>
  </si>
  <si>
    <t>cst_wskakunin_kanri8_TOUROKU_KIKAN</t>
  </si>
  <si>
    <t>**wskakunin_kanri8_KENTIKUSI_NO</t>
  </si>
  <si>
    <t>cst_wskakunin_kanri8_KENTIKUSI_NO</t>
  </si>
  <si>
    <t>**wskakunin_kanri8_NAME</t>
  </si>
  <si>
    <t>cst_wskakunin_kanri8_NAME</t>
  </si>
  <si>
    <t>**wskakunin_kanri8_JIMU__sikaku</t>
  </si>
  <si>
    <t>cst_wskakunin_kanri8_JIMU__sikaku</t>
  </si>
  <si>
    <t>**wskakunin_kanri8_JIMU_SIKAKU__label</t>
  </si>
  <si>
    <t>cst_wskakunin_kanri8_JIMU_SIKAKU</t>
  </si>
  <si>
    <t>**wskakunin_kanri8_JIMU_TOUROKU_KIKAN__label</t>
  </si>
  <si>
    <t>cst_wskakunin_kanri8_JIMU_TOUROKU_KIKAN</t>
  </si>
  <si>
    <t>**wskakunin_kanri8_JIMU_NO</t>
  </si>
  <si>
    <t>cst_wskakunin_kanri8_JIMU_NO</t>
  </si>
  <si>
    <t>**wskakunin_kanri8_JIMU_NAME</t>
  </si>
  <si>
    <t>cst_wskakunin_kanri8_JIMU_NAME</t>
  </si>
  <si>
    <t>**wskakunin_kanri8_ZIP</t>
  </si>
  <si>
    <t>cst_wskakunin_kanri8_ZIP</t>
  </si>
  <si>
    <t>**wskakunin_kanri8__address</t>
  </si>
  <si>
    <t>cst_wskakunin_kanri8__address</t>
  </si>
  <si>
    <t>**wskakunin_kanri8_TEL</t>
  </si>
  <si>
    <t>cst_wskakunin_kanri8_TEL</t>
  </si>
  <si>
    <t>**wskakunin_kanri8_DOC</t>
  </si>
  <si>
    <t>cst_wskakunin_kanri8_DOC</t>
  </si>
  <si>
    <t>監理者9</t>
  </si>
  <si>
    <t>**wskakunin_kanri9__sikaku</t>
  </si>
  <si>
    <t>cst_wskakunin_kanri9__sikaku</t>
  </si>
  <si>
    <t>**wskakunin_kanri9_SIKAKU__label</t>
  </si>
  <si>
    <t>cst_wskakunin_kanri9_SIKAKU</t>
  </si>
  <si>
    <t>**wskakunin_kanri9_TOUROKU_KIKAN__label</t>
  </si>
  <si>
    <t>cst_wskakunin_kanri9_TOUROKU_KIKAN</t>
  </si>
  <si>
    <t>**wskakunin_kanri9_KENTIKUSI_NO</t>
  </si>
  <si>
    <t>cst_wskakunin_kanri9_KENTIKUSI_NO</t>
  </si>
  <si>
    <t>**wskakunin_kanri9_NAME</t>
  </si>
  <si>
    <t>cst_wskakunin_kanri9_NAME</t>
  </si>
  <si>
    <t>**wskakunin_kanri9_JIMU__sikaku</t>
  </si>
  <si>
    <t>cst_wskakunin_kanri9_JIMU__sikaku</t>
  </si>
  <si>
    <t>**wskakunin_kanri9_JIMU_SIKAKU__label</t>
  </si>
  <si>
    <t>cst_wskakunin_kanri9_JIMU_SIKAKU</t>
  </si>
  <si>
    <t>**wskakunin_kanri9_JIMU_TOUROKU_KIKAN__label</t>
  </si>
  <si>
    <t>cst_wskakunin_kanri9_JIMU_TOUROKU_KIKAN</t>
  </si>
  <si>
    <t>**wskakunin_kanri9_JIMU_NO</t>
  </si>
  <si>
    <t>cst_wskakunin_kanri9_JIMU_NO</t>
  </si>
  <si>
    <t>**wskakunin_kanri9_JIMU_NAME</t>
  </si>
  <si>
    <t>cst_wskakunin_kanri9_JIMU_NAME</t>
  </si>
  <si>
    <t>**wskakunin_kanri9_ZIP</t>
  </si>
  <si>
    <t>cst_wskakunin_kanri9_ZIP</t>
  </si>
  <si>
    <t>**wskakunin_kanri9__address</t>
  </si>
  <si>
    <t>cst_wskakunin_kanri9__address</t>
  </si>
  <si>
    <t>**wskakunin_kanri9_TEL</t>
  </si>
  <si>
    <t>cst_wskakunin_kanri9_TEL</t>
  </si>
  <si>
    <t>**wskakunin_kanri9_DOC</t>
  </si>
  <si>
    <t>cst_wskakunin_kanri9_DOC</t>
  </si>
  <si>
    <t>監理者10</t>
  </si>
  <si>
    <t>**wskakunin_kanri10__sikaku</t>
  </si>
  <si>
    <t>cst_wskakunin_kanri10__sikaku</t>
  </si>
  <si>
    <t>**wskakunin_kanri10_SIKAKU__label</t>
  </si>
  <si>
    <t>cst_wskakunin_kanri10_SIKAKU</t>
  </si>
  <si>
    <t>**wskakunin_kanri10_TOUROKU_KIKAN__label</t>
  </si>
  <si>
    <t>cst_wskakunin_kanri10_TOUROKU_KIKAN</t>
  </si>
  <si>
    <t>**wskakunin_kanri10_KENTIKUSI_NO</t>
  </si>
  <si>
    <t>cst_wskakunin_kanri10_KENTIKUSI_NO</t>
  </si>
  <si>
    <t>**wskakunin_kanri10_NAME</t>
  </si>
  <si>
    <t>cst_wskakunin_kanri10_NAME</t>
  </si>
  <si>
    <t>**wskakunin_kanri10_JIMU__sikaku</t>
  </si>
  <si>
    <t>cst_wskakunin_kanri10_JIMU__sikaku</t>
  </si>
  <si>
    <t>**wskakunin_kanri10_JIMU_SIKAKU__label</t>
  </si>
  <si>
    <t>cst_wskakunin_kanri10_JIMU_SIKAKU</t>
  </si>
  <si>
    <t>**wskakunin_kanri10_JIMU_TOUROKU_KIKAN__label</t>
  </si>
  <si>
    <t>cst_wskakunin_kanri10_JIMU_TOUROKU_KIKAN</t>
  </si>
  <si>
    <t>**wskakunin_kanri10_JIMU_NO</t>
  </si>
  <si>
    <t>cst_wskakunin_kanri10_JIMU_NO</t>
  </si>
  <si>
    <t>**wskakunin_kanri10_JIMU_NAME</t>
  </si>
  <si>
    <t>cst_wskakunin_kanri10_JIMU_NAME</t>
  </si>
  <si>
    <t>**wskakunin_kanri10_ZIP</t>
  </si>
  <si>
    <t>cst_wskakunin_kanri10_ZIP</t>
  </si>
  <si>
    <t>**wskakunin_kanri10__address</t>
  </si>
  <si>
    <t>cst_wskakunin_kanri10__address</t>
  </si>
  <si>
    <t>**wskakunin_kanri10_TEL</t>
  </si>
  <si>
    <t>cst_wskakunin_kanri10_TEL</t>
  </si>
  <si>
    <t>**wskakunin_kanri10_DOC</t>
  </si>
  <si>
    <t>cst_wskakunin_kanri10_DOC</t>
  </si>
  <si>
    <t>監理者11</t>
  </si>
  <si>
    <t>**wskakunin_kanri11__sikaku</t>
  </si>
  <si>
    <t>cst_wskakunin_kanri11__sikaku</t>
  </si>
  <si>
    <t>**wskakunin_kanri11_SIKAKU__label</t>
  </si>
  <si>
    <t>cst_wskakunin_kanri11_SIKAKU</t>
  </si>
  <si>
    <t>**wskakunin_kanri11_TOUROKU_KIKAN__label</t>
  </si>
  <si>
    <t>cst_wskakunin_kanri11_TOUROKU_KIKAN</t>
  </si>
  <si>
    <t>**wskakunin_kanri11_KENTIKUSI_NO</t>
  </si>
  <si>
    <t>cst_wskakunin_kanri11_KENTIKUSI_NO</t>
  </si>
  <si>
    <t>**wskakunin_kanri11_NAME</t>
  </si>
  <si>
    <t>cst_wskakunin_kanri11_NAME</t>
  </si>
  <si>
    <t>**wskakunin_kanri11_JIMU__sikaku</t>
  </si>
  <si>
    <t>cst_wskakunin_kanri11_JIMU__sikaku</t>
  </si>
  <si>
    <t>**wskakunin_kanri11_JIMU_SIKAKU__label</t>
  </si>
  <si>
    <t>cst_wskakunin_kanri11_JIMU_SIKAKU</t>
  </si>
  <si>
    <t>**wskakunin_kanri11_JIMU_TOUROKU_KIKAN__label</t>
  </si>
  <si>
    <t>cst_wskakunin_kanri11_JIMU_TOUROKU_KIKAN</t>
  </si>
  <si>
    <t>**wskakunin_kanri11_JIMU_NO</t>
  </si>
  <si>
    <t>cst_wskakunin_kanri11_JIMU_NO</t>
  </si>
  <si>
    <t>**wskakunin_kanri11_JIMU_NAME</t>
  </si>
  <si>
    <t>cst_wskakunin_kanri11_JIMU_NAME</t>
  </si>
  <si>
    <t>**wskakunin_kanri11_ZIP</t>
  </si>
  <si>
    <t>cst_wskakunin_kanri11_ZIP</t>
  </si>
  <si>
    <t>**wskakunin_kanri11__address</t>
  </si>
  <si>
    <t>cst_wskakunin_kanri11__address</t>
  </si>
  <si>
    <t>**wskakunin_kanri11_TEL</t>
  </si>
  <si>
    <t>cst_wskakunin_kanri11_TEL</t>
  </si>
  <si>
    <t>**wskakunin_kanri11_DOC</t>
  </si>
  <si>
    <t>cst_wskakunin_kanri11_DOC</t>
  </si>
  <si>
    <t>監理者12</t>
  </si>
  <si>
    <t>**wskakunin_kanri12__sikaku</t>
  </si>
  <si>
    <t>cst_wskakunin_kanri12__sikaku</t>
  </si>
  <si>
    <t>**wskakunin_kanri12_SIKAKU__label</t>
  </si>
  <si>
    <t>cst_wskakunin_kanri12_SIKAKU</t>
  </si>
  <si>
    <t>**wskakunin_kanri12_TOUROKU_KIKAN__label</t>
  </si>
  <si>
    <t>cst_wskakunin_kanri12_TOUROKU_KIKAN</t>
  </si>
  <si>
    <t>**wskakunin_kanri12_KENTIKUSI_NO</t>
  </si>
  <si>
    <t>cst_wskakunin_kanri12_KENTIKUSI_NO</t>
  </si>
  <si>
    <t>**wskakunin_kanri12_NAME</t>
  </si>
  <si>
    <t>cst_wskakunin_kanri12_NAME</t>
  </si>
  <si>
    <t>**wskakunin_kanri12_JIMU__sikaku</t>
  </si>
  <si>
    <t>cst_wskakunin_kanri12_JIMU__sikaku</t>
  </si>
  <si>
    <t>**wskakunin_kanri12_JIMU_SIKAKU__label</t>
  </si>
  <si>
    <t>cst_wskakunin_kanri12_JIMU_SIKAKU</t>
  </si>
  <si>
    <t>**wskakunin_kanri12_JIMU_TOUROKU_KIKAN__label</t>
  </si>
  <si>
    <t>cst_wskakunin_kanri12_JIMU_TOUROKU_KIKAN</t>
  </si>
  <si>
    <t>**wskakunin_kanri12_JIMU_NO</t>
  </si>
  <si>
    <t>cst_wskakunin_kanri12_JIMU_NO</t>
  </si>
  <si>
    <t>**wskakunin_kanri12_JIMU_NAME</t>
  </si>
  <si>
    <t>cst_wskakunin_kanri12_JIMU_NAME</t>
  </si>
  <si>
    <t>**wskakunin_kanri12_ZIP</t>
  </si>
  <si>
    <t>cst_wskakunin_kanri12_ZIP</t>
  </si>
  <si>
    <t>**wskakunin_kanri12__address</t>
  </si>
  <si>
    <t>cst_wskakunin_kanri12__address</t>
  </si>
  <si>
    <t>**wskakunin_kanri12_TEL</t>
  </si>
  <si>
    <t>cst_wskakunin_kanri12_TEL</t>
  </si>
  <si>
    <t>**wskakunin_kanri12_DOC</t>
  </si>
  <si>
    <t>cst_wskakunin_kanri12_DOC</t>
  </si>
  <si>
    <t>施工者</t>
  </si>
  <si>
    <t>**wskakunin_sekou1_NAME</t>
  </si>
  <si>
    <t>代表取締役　波夛野　賢</t>
  </si>
  <si>
    <t>cst_wskakunin_sekou1_NAME</t>
  </si>
  <si>
    <t>建設業の資格一括</t>
  </si>
  <si>
    <t>**wskakunin_sekou1_SEKOU__sikaku</t>
  </si>
  <si>
    <t>京都府知事第般-3　1675号</t>
  </si>
  <si>
    <t>cst_wskakunin_sekou1_SEKOU__sikaku</t>
  </si>
  <si>
    <t>建設業の許可</t>
  </si>
  <si>
    <t>**wskakunin_sekou1_SEKOU_SIKAKU__label</t>
  </si>
  <si>
    <t>京都府知事</t>
  </si>
  <si>
    <t>cst_wskakunin_sekou1_SEKOU_SIKAKU</t>
  </si>
  <si>
    <t>登録番号</t>
  </si>
  <si>
    <t>**wskakunin_sekou1_SEKOU_NO</t>
  </si>
  <si>
    <t>般-3　1675</t>
  </si>
  <si>
    <t>cst_wskakunin_sekou1_SEKOU_NO</t>
  </si>
  <si>
    <t>営業所名</t>
  </si>
  <si>
    <t>**wskakunin_sekou1_JIMU_NAME</t>
  </si>
  <si>
    <t>四辻木材興行株式会社</t>
  </si>
  <si>
    <t>cst_wskakunin_sekou1_JIMU_NAME</t>
  </si>
  <si>
    <t>**wskakunin_sekou1_ZIP</t>
  </si>
  <si>
    <t>617-0006</t>
  </si>
  <si>
    <t>cst_wskakunin_sekou1_ZIP</t>
  </si>
  <si>
    <t>**wskakunin_sekou1__address</t>
  </si>
  <si>
    <t>京都府向日市上植野町落掘17-1</t>
  </si>
  <si>
    <t>cst_wskakunin_sekou1__address</t>
  </si>
  <si>
    <t>**wskakunin_sekou1_TEL</t>
  </si>
  <si>
    <t>075-931-1191</t>
  </si>
  <si>
    <t>cst_wskakunin_sekou1_TEL</t>
  </si>
  <si>
    <t>cst_wskakunin_sekou1_TEL_dsp</t>
  </si>
  <si>
    <t>入力チェック</t>
  </si>
  <si>
    <t>cst_wskakunin_sekou1_kakunin</t>
  </si>
  <si>
    <t>：未入力1,入力済み2</t>
  </si>
  <si>
    <t>施工者2</t>
  </si>
  <si>
    <t>**wskakunin_sekou2_NAME</t>
  </si>
  <si>
    <t>cst_wskakunin_sekou2_NAME</t>
  </si>
  <si>
    <t>**wskakunin_sekou2_SEKOU__sikaku</t>
  </si>
  <si>
    <t>cst_wskakunin_sekou2_SEKOU__sikaku</t>
  </si>
  <si>
    <t>**wskakunin_sekou2_SEKOU_SIKAKU__label</t>
  </si>
  <si>
    <t>cst_wskakunin_sekou2_SEKOU_SIKAKU</t>
  </si>
  <si>
    <t>**wskakunin_sekou2_SEKOU_NO</t>
  </si>
  <si>
    <t>cst_wskakunin_sekou2_SEKOU_NO</t>
  </si>
  <si>
    <t>**wskakunin_sekou2_JIMU_NAME</t>
  </si>
  <si>
    <t>cst_wskakunin_sekou2_JIMU_NAME</t>
  </si>
  <si>
    <t>**wskakunin_sekou2_ZIP</t>
  </si>
  <si>
    <t>cst_wskakunin_sekou2_ZIP</t>
  </si>
  <si>
    <t>**wskakunin_sekou2__address</t>
  </si>
  <si>
    <t>cst_wskakunin_sekou2__address</t>
  </si>
  <si>
    <t>**wskakunin_sekou2_TEL</t>
  </si>
  <si>
    <t>cst_wskakunin_sekou2_TEL</t>
  </si>
  <si>
    <t>施工者3</t>
  </si>
  <si>
    <t>**wskakunin_sekou3_NAME</t>
  </si>
  <si>
    <t>cst_wskakunin_sekou3_NAME</t>
  </si>
  <si>
    <t>**wskakunin_sekou3_SEKOU__sikaku</t>
  </si>
  <si>
    <t>cst_wskakunin_sekou3_SEKOU__sikaku</t>
  </si>
  <si>
    <t>**wskakunin_sekou3_SEKOU_SIKAKU__label</t>
  </si>
  <si>
    <t>cst_wskakunin_sekou3_SEKOU_SIKAKU</t>
  </si>
  <si>
    <t>**wskakunin_sekou3_SEKOU_NO</t>
  </si>
  <si>
    <t>cst_wskakunin_sekou3_SEKOU_NO</t>
  </si>
  <si>
    <t>**wskakunin_sekou3_JIMU_NAME</t>
  </si>
  <si>
    <t>cst_wskakunin_sekou3_JIMU_NAME</t>
  </si>
  <si>
    <t>**wskakunin_sekou3_ZIP</t>
  </si>
  <si>
    <t>cst_wskakunin_sekou3_ZIP</t>
  </si>
  <si>
    <t>**wskakunin_sekou3__address</t>
  </si>
  <si>
    <t>cst_wskakunin_sekou3__address</t>
  </si>
  <si>
    <t>**wskakunin_sekou3_TEL</t>
  </si>
  <si>
    <t>cst_wskakunin_sekou3_TEL</t>
  </si>
  <si>
    <t>施工者4</t>
  </si>
  <si>
    <t>**wskakunin_sekou4_NAME</t>
  </si>
  <si>
    <t>cst_wskakunin_sekou4_NAME</t>
  </si>
  <si>
    <t>**wskakunin_sekou4_SEKOU__sikaku</t>
  </si>
  <si>
    <t>cst_wskakunin_sekou4_SEKOU__sikaku</t>
  </si>
  <si>
    <t>**wskakunin_sekou4_SEKOU_SIKAKU__label</t>
  </si>
  <si>
    <t>cst_wskakunin_sekou4_SEKOU_SIKAKU</t>
  </si>
  <si>
    <t>**wskakunin_sekou4_SEKOU_NO</t>
  </si>
  <si>
    <t>cst_wskakunin_sekou4_SEKOU_NO</t>
  </si>
  <si>
    <t>**wskakunin_sekou4_JIMU_NAME</t>
  </si>
  <si>
    <t>cst_wskakunin_sekou4_JIMU_NAME</t>
  </si>
  <si>
    <t>**wskakunin_sekou4_ZIP</t>
  </si>
  <si>
    <t>cst_wskakunin_sekou4_ZIP</t>
  </si>
  <si>
    <t>**wskakunin_sekou4__address</t>
  </si>
  <si>
    <t>cst_wskakunin_sekou4__address</t>
  </si>
  <si>
    <t>**wskakunin_sekou4_TEL</t>
  </si>
  <si>
    <t>cst_wskakunin_sekou4_TEL</t>
  </si>
  <si>
    <t>施工者5</t>
  </si>
  <si>
    <t>**wskakunin_sekou5_NAME</t>
  </si>
  <si>
    <t>cst_wskakunin_sekou5_NAME</t>
  </si>
  <si>
    <t>**wskakunin_sekou5_SEKOU__sikaku</t>
  </si>
  <si>
    <t>cst_wskakunin_sekou5_SEKOU__sikaku</t>
  </si>
  <si>
    <t>**wskakunin_sekou5_SEKOU_SIKAKU__label</t>
  </si>
  <si>
    <t>cst_wskakunin_sekou5_SEKOU_SIKAKU</t>
  </si>
  <si>
    <t>**wskakunin_sekou5_SEKOU_NO</t>
  </si>
  <si>
    <t>cst_wskakunin_sekou5_SEKOU_NO</t>
  </si>
  <si>
    <t>**wskakunin_sekou5_JIMU_NAME</t>
  </si>
  <si>
    <t>cst_wskakunin_sekou5_JIMU_NAME</t>
  </si>
  <si>
    <t>**wskakunin_sekou5_ZIP</t>
  </si>
  <si>
    <t>cst_wskakunin_sekou5_ZIP</t>
  </si>
  <si>
    <t>**wskakunin_sekou5__address</t>
  </si>
  <si>
    <t>cst_wskakunin_sekou5__address</t>
  </si>
  <si>
    <t>**wskakunin_sekou5_TEL</t>
  </si>
  <si>
    <t>cst_wskakunin_sekou5_TEL</t>
  </si>
  <si>
    <t>施工者6</t>
  </si>
  <si>
    <t>**wskakunin_sekou6_NAME</t>
  </si>
  <si>
    <t>cst_wskakunin_sekou6_NAME</t>
  </si>
  <si>
    <t>**wskakunin_sekou6_SEKOU__sikaku</t>
  </si>
  <si>
    <t>cst_wskakunin_sekou6_SEKOU__sikaku</t>
  </si>
  <si>
    <t>**wskakunin_sekou6_SEKOU_SIKAKU__label</t>
  </si>
  <si>
    <t>cst_wskakunin_sekou6_SEKOU_SIKAKU</t>
  </si>
  <si>
    <t>**wskakunin_sekou6_SEKOU_NO</t>
  </si>
  <si>
    <t>cst_wskakunin_sekou6_SEKOU_NO</t>
  </si>
  <si>
    <t>**wskakunin_sekou6_JIMU_NAME</t>
  </si>
  <si>
    <t>cst_wskakunin_sekou6_JIMU_NAME</t>
  </si>
  <si>
    <t>**wskakunin_sekou6_ZIP</t>
  </si>
  <si>
    <t>cst_wskakunin_sekou6_ZIP</t>
  </si>
  <si>
    <t>**wskakunin_sekou6__address</t>
  </si>
  <si>
    <t>cst_wskakunin_sekou6__address</t>
  </si>
  <si>
    <t>**wskakunin_sekou6_TEL</t>
  </si>
  <si>
    <t>cst_wskakunin_sekou6_TEL</t>
  </si>
  <si>
    <t>※ 特定施工業者の検索</t>
  </si>
  <si>
    <t>一建設（前方一致で判定）</t>
  </si>
  <si>
    <t>cst_wskakunin_sekou1__hajime</t>
  </si>
  <si>
    <t>※showsheetflagではSEARCH関数は使用不可</t>
  </si>
  <si>
    <t>ケイアイスター</t>
  </si>
  <si>
    <t>cst_wskakunin_sekou1__kistar</t>
  </si>
  <si>
    <t>備考（建築物名称）</t>
  </si>
  <si>
    <t>**wskakunin_BUILD_NAME</t>
  </si>
  <si>
    <t>猫山邸　新築工事</t>
  </si>
  <si>
    <t>cst_wskakunin_BUILD_NAME</t>
  </si>
  <si>
    <t>**wskakunin_BUILD_NAME_KANA</t>
  </si>
  <si>
    <t>cst_wskakunin_BUILD_NAME_KANA</t>
  </si>
  <si>
    <t>第二面 備考</t>
  </si>
  <si>
    <t>**wskakunin_P2_BIKOU</t>
  </si>
  <si>
    <t>cst_wskakunin_P2_BIKOU</t>
  </si>
  <si>
    <t>7.構造計算適合性判定</t>
  </si>
  <si>
    <t>チェック</t>
  </si>
  <si>
    <t>**wskakunin_tekihan01_TEKIHAN_STATE</t>
  </si>
  <si>
    <t>－申請済チェック</t>
  </si>
  <si>
    <t>cst_wskakunin_tekihan01_TEKIHAN_STATE_shinsei</t>
  </si>
  <si>
    <t>－未申請チェック</t>
  </si>
  <si>
    <t>cst_wskakunin_tekihan01_TEKIHAN_STATE_mishinsei</t>
  </si>
  <si>
    <t>－申請不要チェック</t>
  </si>
  <si>
    <t>cst_wskakunin_tekihan01_TEKIHAN_STATE_shinseifuyou</t>
  </si>
  <si>
    <t>適判名称</t>
  </si>
  <si>
    <t>**wskakunin_tekihan01_TEKIHAN_KIKAN_NAME</t>
  </si>
  <si>
    <t>cst_wskakunin_tekihan01_TEKIHAN_KIKAN_NAME</t>
  </si>
  <si>
    <t>適判所在地　都道府県</t>
  </si>
  <si>
    <t>**wskakunin_tekihan01_TEKIHAN_KIKAN_KEN__ken</t>
  </si>
  <si>
    <t>cst_wskakunin_tekihan01_TEKIHAN_KIKAN_KEN__ken</t>
  </si>
  <si>
    <t>適判所在地　市区町村</t>
  </si>
  <si>
    <t>**wskakunin_tekihan01_TEKIHAN_KIKAN_ADDRESS</t>
  </si>
  <si>
    <t>cst_wskakunin_tekihan01_TEKIHAN_KIKAN_ADDRESS</t>
  </si>
  <si>
    <t>名称＋都道府県＋市区町村</t>
  </si>
  <si>
    <t>cst_wskakunin_tekihan01_TEKIHAN_KIKAN_info</t>
  </si>
  <si>
    <t>**wskakunin_tekihan02_TEKIHAN_KIKAN_NAME</t>
  </si>
  <si>
    <t>cst_wskakunin_tekihan02_TEKIHAN_KIKAN_NAME</t>
  </si>
  <si>
    <t>**wskakunin_tekihan02_TEKIHAN_KIKAN_KEN__ken</t>
  </si>
  <si>
    <t>cst_wskakunin_tekihan02_TEKIHAN_KIKAN_KEN__ken</t>
  </si>
  <si>
    <t>**wskakunin_tekihan02_TEKIHAN_KIKAN_ADDRESS</t>
  </si>
  <si>
    <t>cst_wskakunin_tekihan02_TEKIHAN_KIKAN_ADDRESS</t>
  </si>
  <si>
    <t>cst_wskakunin_tekihan02_TEKIHAN_KIKAN_info</t>
  </si>
  <si>
    <t>8.建築物エネルギー消費性能確保計画の提出</t>
  </si>
  <si>
    <t>提出状況チェック</t>
  </si>
  <si>
    <t>**wskakunin_ecotekihan01_TEKIHAN_STATE</t>
  </si>
  <si>
    <t>－提出済チェック</t>
  </si>
  <si>
    <t>cst_wskakunin_ecotekihan01_TEKIHAN_STATE_teisyutu</t>
  </si>
  <si>
    <t>－未提出チェック</t>
  </si>
  <si>
    <t>cst_wskakunin_ecotekihan01_TEKIHAN_STATE_miteisyutu</t>
  </si>
  <si>
    <t>－提出不要チェック</t>
  </si>
  <si>
    <t>cst_wskakunin_ecotekihan01_TEKIHAN_STATE_teisyutufuyou</t>
  </si>
  <si>
    <t>**wskakunin_ecotekihan01_TEKIHAN_KIKAN_NAME</t>
  </si>
  <si>
    <t>cst_wskakunin_ecotekihan01_TEKIHAN_KIKAN_NAME</t>
  </si>
  <si>
    <t>**wskakunin_ecotekihan01_TEKIHAN_KIKAN_KEN__ken</t>
  </si>
  <si>
    <t>cst_wskakunin_ecotekihan01_TEKIHAN_KIKAN_KEN__ken</t>
  </si>
  <si>
    <t>**wskakunin_ecotekihan01_TEKIHAN_KIKAN_ADDRESS</t>
  </si>
  <si>
    <t>cst_wskakunin_ecotekihan01_TEKIHAN_KIKAN_ADDRESS</t>
  </si>
  <si>
    <t>提出済-機関情報</t>
  </si>
  <si>
    <t>cst_wskakunin_ecotekihan01_teisyutu_kikan_info</t>
  </si>
  <si>
    <t>未提出-機関情報</t>
  </si>
  <si>
    <t>cst_wskakunin_ecotekihan01_miteisyutu_kikan_info</t>
  </si>
  <si>
    <t>提出不要-理由</t>
  </si>
  <si>
    <t>**wskakunin_ecotekihan01_FUYOU_CAUSE</t>
  </si>
  <si>
    <t>cst_wskakunin_ecotekihan01_FUYOU_CAUSE</t>
  </si>
  <si>
    <t>第四面</t>
  </si>
  <si>
    <t>1.</t>
  </si>
  <si>
    <t>主要用途</t>
  </si>
  <si>
    <t>**wskakunin_p4_1_youto1_YOUTO</t>
  </si>
  <si>
    <t>cst_wskakunin_p4_1_youto1_YOUTO</t>
  </si>
  <si>
    <t>区分</t>
  </si>
  <si>
    <t>**wskakunin_p4_1_youto1_YOUTO_CODE</t>
  </si>
  <si>
    <t>cst_wskakunin_p4_1_youto1_YOUTO_CODE</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</si>
  <si>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</si>
  <si>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</si>
  <si>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</si>
  <si>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</si>
  <si>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</si>
  <si>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</si>
  <si>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</si>
  <si>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</si>
  <si>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</si>
  <si>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</si>
  <si>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</si>
  <si>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</si>
  <si>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その他</t>
  </si>
  <si>
    <t>cst_wskakunin_p4_1_youto1_YOUTO_9</t>
  </si>
  <si>
    <t>工事種別</t>
  </si>
  <si>
    <t>**wskakunin_p4_1__kouji</t>
  </si>
  <si>
    <t>cst_wskakunin_p4_1__kouji</t>
  </si>
  <si>
    <t>階数－地上</t>
  </si>
  <si>
    <t>**wskakunin_p4_1_KAISU_TIKAI_NOZOKU</t>
  </si>
  <si>
    <t>cst_wskakunin_p4_1_KAISU_TIKAI_NOZOKU</t>
  </si>
  <si>
    <t>階数－地下</t>
  </si>
  <si>
    <t>**wskakunin_p4_1_KAISU_TIKAI</t>
  </si>
  <si>
    <t>cst_wskakunin_p4_1_KAISU_TIKAI</t>
  </si>
  <si>
    <t>構造</t>
  </si>
  <si>
    <t>**wskakunin_p4_1_KOUZOU1</t>
  </si>
  <si>
    <t>cst_wskakunin_p4_1_KOUZOU1</t>
  </si>
  <si>
    <t>構造の一部</t>
  </si>
  <si>
    <t>**wskakunin_p4_1_KOUZOU2</t>
  </si>
  <si>
    <t>cst_wskakunin_p4_1_KOUZOU2</t>
  </si>
  <si>
    <t>高さ－最高の高さ</t>
  </si>
  <si>
    <t>**wskakunin_p4_1_TAKASA_MAX</t>
  </si>
  <si>
    <t>cst_wskakunin_p4_1_TAKASA_MAX</t>
  </si>
  <si>
    <t>高さ－最高の軒の高さ</t>
  </si>
  <si>
    <t>**wskakunin_p4_1_TAKASA_KEN_MAX</t>
  </si>
  <si>
    <t>cst_wskakunin_p4_1_TAKASA_KEN_MAX</t>
  </si>
  <si>
    <t>床面積（申請部分）</t>
  </si>
  <si>
    <t>**wskakunin_p4_1_KAISU_YUKA_MENSEKI_SHINSEI</t>
  </si>
  <si>
    <t>cst_wskakunin_p4_1_KAISU_YUKA_MENSEKI_SHINSEI</t>
  </si>
  <si>
    <t>第6条の4第1項の特例の有無</t>
  </si>
  <si>
    <t>**wskakunin_p4_1_TOKUREI_KAKUNIN_FLAG</t>
  </si>
  <si>
    <t>cst_wskakunin_p4_1_TOKUREI_KAKUNIN_FLAG</t>
  </si>
  <si>
    <t>cst_wskakunin_p4_1_TOKUREI_KAKUNIN_FLAG_on</t>
  </si>
  <si>
    <t>cst_wskakunin_p4_1_TOKUREI_KAKUNIN_FLAG_off</t>
  </si>
  <si>
    <t>第四面-階別-階数-1</t>
  </si>
  <si>
    <t>**wskakunin_p4_1_p5_1_KAI</t>
  </si>
  <si>
    <t>cst_wskakunin_p4_1_p5_1_KAI</t>
  </si>
  <si>
    <t>　-階数1-床面積-申請部分</t>
  </si>
  <si>
    <t>**wskakunin_p4_1_p5_1_P4_MENSEKI_SHINSEI</t>
  </si>
  <si>
    <t>cst_wskakunin_p4_1_p5_1_P4_MENSEKI_SHINSEI</t>
  </si>
  <si>
    <t>階別-階数-2</t>
  </si>
  <si>
    <t>**wskakunin_p4_1_p5_2_KAI</t>
  </si>
  <si>
    <t>cst_wskakunin_p4_1_p5_2_KAI</t>
  </si>
  <si>
    <t>　-階数2-床面積-申請部分</t>
  </si>
  <si>
    <t>**wskakunin_p4_1_p5_2_P4_MENSEKI_SHINSEI</t>
  </si>
  <si>
    <t>cst_wskakunin_p4_1_p5_2_P4_MENSEKI_SHINSEI</t>
  </si>
  <si>
    <t>階別-階数-3</t>
  </si>
  <si>
    <t>**wskakunin_p4_1_p5_3_KAI</t>
  </si>
  <si>
    <t>cst_wskakunin_p4_1_p5_3_KAI</t>
  </si>
  <si>
    <t>　-階数3-床面積-申請部分</t>
  </si>
  <si>
    <t>**wskakunin_p4_1_p5_3_P4_MENSEKI_SHINSEI</t>
  </si>
  <si>
    <t>cst_wskakunin_p4_1_p5_3_P4_MENSEKI_SHINSEI</t>
  </si>
  <si>
    <t>第三面</t>
  </si>
  <si>
    <t>1.地名地番</t>
  </si>
  <si>
    <t>地名地番</t>
  </si>
  <si>
    <t>**wskakunin_BUILD__address</t>
  </si>
  <si>
    <t>cst_wskakunin_BUILD__address</t>
  </si>
  <si>
    <t>-都道府県</t>
  </si>
  <si>
    <t>**wskakunin_BUILD_KEN__ken</t>
  </si>
  <si>
    <t>大阪府</t>
  </si>
  <si>
    <t>cst_wskakunin_BUILD_KEN__ken</t>
  </si>
  <si>
    <t>-住所</t>
  </si>
  <si>
    <t>**wskakunin_BUILD_ADDRESS</t>
  </si>
  <si>
    <t>茨木市山手台2-2-2</t>
  </si>
  <si>
    <t>cst_wskakunin_BUILD_ADDRESS</t>
  </si>
  <si>
    <t>2.住居表示</t>
  </si>
  <si>
    <t>**wskakunin_BUILD_JYUKYO__address</t>
  </si>
  <si>
    <t>大阪府茨木市山手台2-2（以下未定）</t>
  </si>
  <si>
    <t>cst_wskakunin_BUILD_JYUKYO__address</t>
  </si>
  <si>
    <t>**wskakunin_BUILD_JYUKYO_KEN__ken</t>
  </si>
  <si>
    <t>cst_wskakunin_BUILD_JYUKYO_KEN__ken</t>
  </si>
  <si>
    <t>**wskakunin_BUILD_JYUKYO_ADDRESS</t>
  </si>
  <si>
    <t>茨木市山手台2-2（以下未定）</t>
  </si>
  <si>
    <t>cst_wskakunin_BUILD_JYUKYO_ADDRESS</t>
  </si>
  <si>
    <t>3.都市計画区域</t>
  </si>
  <si>
    <t>都市計画区域内</t>
  </si>
  <si>
    <t>**wskakunin_KUIKI_TOSI</t>
  </si>
  <si>
    <t>cst_wskakunin_KUIKI_TOSI</t>
  </si>
  <si>
    <t>内外の別</t>
  </si>
  <si>
    <t>**wskakunin__kuiki</t>
  </si>
  <si>
    <t>cst_wskakunin__kuiki</t>
  </si>
  <si>
    <t>cst_wskakunin__kuiki_box</t>
  </si>
  <si>
    <t>市街化区域</t>
  </si>
  <si>
    <t>**wskakunin_KUIKI_SIGAIKA</t>
  </si>
  <si>
    <t>cst_wskakunin_KUIKI_SIGAIKA</t>
  </si>
  <si>
    <t>区域内の分類</t>
  </si>
  <si>
    <t>**wskakunin__tosi_kuiki</t>
  </si>
  <si>
    <t>cst_wskakunin__tosi_kuiki</t>
  </si>
  <si>
    <t>市街化調整区域</t>
  </si>
  <si>
    <t>**wskakunin_KUIKI_TYOSEI</t>
  </si>
  <si>
    <t>cst_wskakunin_KUIKI_TYOSEI</t>
  </si>
  <si>
    <t>区域区分非設定</t>
  </si>
  <si>
    <t>**wskakunin_KUIKI_HISETTEI</t>
  </si>
  <si>
    <t>cst_wskakunin_KUIKI_HISETTEI</t>
  </si>
  <si>
    <t>準都市計画区域内</t>
  </si>
  <si>
    <t>**wskakunin_KUIKI_JYUN_TOSHI</t>
  </si>
  <si>
    <t>cst_wskakunin_KUIKI_JYUN_TOSHI</t>
  </si>
  <si>
    <t>都市計画区域及び準都市計画区域内準都市計画区域外</t>
  </si>
  <si>
    <t>**wskakunin_KUIKI_KUIKIGAI</t>
  </si>
  <si>
    <t>cst_wskakunin_KUIKI_KUIKIGAI</t>
  </si>
  <si>
    <t>4.防火地域</t>
  </si>
  <si>
    <t>**wskakunin__bouka</t>
  </si>
  <si>
    <t>cst_wskakunin__bouka</t>
  </si>
  <si>
    <t>防火地域</t>
  </si>
  <si>
    <t>**wskakunin_BOUKA_BOUKA</t>
  </si>
  <si>
    <t>cst_wskakunin_BOUKA_BOUKA</t>
  </si>
  <si>
    <t>準防火地域</t>
  </si>
  <si>
    <t>**wskakunin_BOUKA_JYUN_BOUKA</t>
  </si>
  <si>
    <t>cst_wskakunin_BOUKA_JYUN_BOUKA</t>
  </si>
  <si>
    <t>指定なし</t>
  </si>
  <si>
    <t>**wskakunin_BOUKA_NASI</t>
  </si>
  <si>
    <t>cst_wskakunin_BOUKA_NASI</t>
  </si>
  <si>
    <t>法第22条区域</t>
  </si>
  <si>
    <t>**wskakunin_BOUKA_22JYO</t>
  </si>
  <si>
    <t>cst_wskakunin_BOUKA_22JYO</t>
  </si>
  <si>
    <t>5.その他の区域</t>
  </si>
  <si>
    <t>**wskakunin_SONOTA_KUIKI</t>
  </si>
  <si>
    <t>cst_wskakunin_wskakunin_SONOTA_KUIKI</t>
  </si>
  <si>
    <t>6.道路</t>
  </si>
  <si>
    <t>幅員</t>
  </si>
  <si>
    <t>**wskakunin_DOURO_FUKUIN</t>
  </si>
  <si>
    <t>cst_wskakunin_DOURO_FUKUIN</t>
  </si>
  <si>
    <t>敷地と接している部分の長さ</t>
  </si>
  <si>
    <t>**wskakunin_DOURO_NAGASA</t>
  </si>
  <si>
    <t>cst_wskakunin_DOURO_NAGASA</t>
  </si>
  <si>
    <t>7.敷地面積</t>
  </si>
  <si>
    <t>敷地面積</t>
  </si>
  <si>
    <t>（1）A</t>
  </si>
  <si>
    <t>**wskakunin_SHIKITI_MENSEKI_1A</t>
  </si>
  <si>
    <t>cst_wskakunin_SHIKITI_MENSEKI_1A</t>
  </si>
  <si>
    <t>（1）B</t>
  </si>
  <si>
    <t>**wskakunin_SHIKITI_MENSEKI_1B</t>
  </si>
  <si>
    <t>cst_wskakunin_SHIKITI_MENSEKI_1B</t>
  </si>
  <si>
    <t>（1）C</t>
  </si>
  <si>
    <t>**wskakunin_SHIKITI_MENSEKI_1C</t>
  </si>
  <si>
    <t>cst_wskakunin_SHIKITI_MENSEKI_1C</t>
  </si>
  <si>
    <t>（1）D</t>
  </si>
  <si>
    <t>**wskakunin_SHIKITI_MENSEKI_1D</t>
  </si>
  <si>
    <t>cst_wskakunin_SHIKITI_MENSEKI_1D</t>
  </si>
  <si>
    <t>（2）A</t>
  </si>
  <si>
    <t>**wskakunin_SHIKITI_MENSEKI_2A</t>
  </si>
  <si>
    <t>cst_wskakunin_SHIKITI_MENSEKI_2A</t>
  </si>
  <si>
    <t>（2）B</t>
  </si>
  <si>
    <t>**wskakunin_SHIKITI_MENSEKI_2B</t>
  </si>
  <si>
    <t>cst_wskakunin_SHIKITI_MENSEKI_2B</t>
  </si>
  <si>
    <t>（2）C</t>
  </si>
  <si>
    <t>**wskakunin_SHIKITI_MENSEKI_2C</t>
  </si>
  <si>
    <t>cst_wskakunin_SHIKITI_MENSEKI_2C</t>
  </si>
  <si>
    <t>（2）D</t>
  </si>
  <si>
    <t>**wskakunin_SHIKITI_MENSEKI_2D</t>
  </si>
  <si>
    <t>cst_wskakunin_SHIKITI_MENSEKI_2D</t>
  </si>
  <si>
    <t>用途地域</t>
  </si>
  <si>
    <t>A</t>
  </si>
  <si>
    <t>**wskakunin_YOUTO_TIIKI_A</t>
  </si>
  <si>
    <t>cst_wskakunin_YOUTO_TIIKI_A</t>
  </si>
  <si>
    <t>B</t>
  </si>
  <si>
    <t>**wskakunin_YOUTO_TIIKI_B</t>
  </si>
  <si>
    <t>cst_wskakunin_YOUTO_TIIKI_B</t>
  </si>
  <si>
    <t>C</t>
  </si>
  <si>
    <t>**wskakunin_YOUTO_TIIKI_C</t>
  </si>
  <si>
    <t>cst_wskakunin_YOUTO_TIIKI_C</t>
  </si>
  <si>
    <t>D</t>
  </si>
  <si>
    <t>**wskakunin_YOUTO_TIIKI_D</t>
  </si>
  <si>
    <t>cst_wskakunin_YOUTO_TIIKI_D</t>
  </si>
  <si>
    <t>□、■表示</t>
  </si>
  <si>
    <t>容積率</t>
  </si>
  <si>
    <t>**wskakunin_YOUSEKI_RITU_A</t>
  </si>
  <si>
    <t>cst_wskakunin_YOUSEKI_RITU_A</t>
  </si>
  <si>
    <t>**wskakunin_YOUSEKI_RITU_B</t>
  </si>
  <si>
    <t>cst_wskakunin_YOUSEKI_RITU_B</t>
  </si>
  <si>
    <t>**wskakunin_YOUSEKI_RITU_C</t>
  </si>
  <si>
    <t>cst_wskakunin_YOUSEKI_RITU_C</t>
  </si>
  <si>
    <t>**wskakunin_YOUSEKI_RITU_D</t>
  </si>
  <si>
    <t>cst_wskakunin_YOUSEKI_RITU_D</t>
  </si>
  <si>
    <t>建蔽率</t>
  </si>
  <si>
    <t>**wskakunin_KENPEI_RITU_A</t>
  </si>
  <si>
    <t>cst_wskakunin_KENPEI_RITU_A</t>
  </si>
  <si>
    <t>**wskakunin_KENPEI_RITU_B</t>
  </si>
  <si>
    <t>cst_wskakunin_KENPEI_RITU_B</t>
  </si>
  <si>
    <t>**wskakunin_KENPEI_RITU_C</t>
  </si>
  <si>
    <t>cst_wskakunin_KENPEI_RITU_C</t>
  </si>
  <si>
    <t>**wskakunin_KENPEI_RITU_D</t>
  </si>
  <si>
    <t>cst_wskakunin_KENPEI_RITU_D</t>
  </si>
  <si>
    <t>敷地面積の合計</t>
  </si>
  <si>
    <t>（1）</t>
  </si>
  <si>
    <t>**wskakunin_SHIKITI_MENSEKI_1_TOTAL</t>
  </si>
  <si>
    <t>cst_wskakunin_SHIKITI_MENSEKI_1_TOTAL</t>
  </si>
  <si>
    <t>（2）</t>
  </si>
  <si>
    <t>**wskakunin_SHIKITI_MENSEKI_2_TOTAL</t>
  </si>
  <si>
    <t>cst_wskakunin_SHIKITI_MENSEKI_2_TOTAL</t>
  </si>
  <si>
    <t>延べ面積を敷地面積で除した数値</t>
  </si>
  <si>
    <t>**wskakunin_LIMIT_YOUSEKI_RITU</t>
  </si>
  <si>
    <t>cst_wskakunin_LIMIT_YOUSEKI_RITU</t>
  </si>
  <si>
    <t>建築面積を敷地面積で除した数値</t>
  </si>
  <si>
    <t>**wskakunin_LIMIT_KENPEI_RITU</t>
  </si>
  <si>
    <t>cst_wskakunin_LIMIT_KENPEI_RITU</t>
  </si>
  <si>
    <t>**wskakunin_SHIKITI_MENSEKI_BIKOU</t>
  </si>
  <si>
    <t>cst_wskakunin_SHIKITI_MENSEKI_BIKOU</t>
  </si>
  <si>
    <t>8.主要用途</t>
  </si>
  <si>
    <t>CODE</t>
  </si>
  <si>
    <t>**wskakunin_YOUTO_CODE</t>
  </si>
  <si>
    <t>cst_wskakunin_YOUTO_CODE</t>
  </si>
  <si>
    <t>**wskakunin_YOUTO</t>
  </si>
  <si>
    <t>cst_wskakunin_YOUTO</t>
  </si>
  <si>
    <t>共同・長屋の戸数</t>
  </si>
  <si>
    <t>**shinsei_UNIT_COUNT</t>
  </si>
  <si>
    <t>cst_shinsei_UNIT_COUNT</t>
  </si>
  <si>
    <t>―長期第二面表記用戸建box</t>
  </si>
  <si>
    <t>cst_wskakunin_YOUTO_kodate_box</t>
  </si>
  <si>
    <t>―長期第二面表記用共同box</t>
  </si>
  <si>
    <t>cst_wskakunin_YOUTO_kyoudou_box</t>
  </si>
  <si>
    <t>9.工事種別</t>
  </si>
  <si>
    <t>工事種別一括出力</t>
  </si>
  <si>
    <t>**wskakunin__kouji</t>
  </si>
  <si>
    <t>新築</t>
  </si>
  <si>
    <t>cst_wskakunin__kouji</t>
  </si>
  <si>
    <t>**wskakunin_KOUJI_SINTIKU</t>
  </si>
  <si>
    <t>cst_wskakunin_KOUJI_SINTIKU_box</t>
  </si>
  <si>
    <t>増築</t>
  </si>
  <si>
    <t>**wskakunin_KOUJI_ZOUTIKU</t>
  </si>
  <si>
    <t>cst_wskakunin_KOUJI_ZOUTIKU_box</t>
  </si>
  <si>
    <t>改築</t>
  </si>
  <si>
    <t>**wskakunin_KOUJI_KAITIKU</t>
  </si>
  <si>
    <t>cst_wskakunin_KOUJI_KAITIKU_box</t>
  </si>
  <si>
    <t>移転</t>
  </si>
  <si>
    <t>**wskakunin_KOUJI_ITEN</t>
  </si>
  <si>
    <t>cst_wskakunin_KOUJI_ITEN_box</t>
  </si>
  <si>
    <t>用途変更</t>
  </si>
  <si>
    <t>**wskakunin_KOUJI_YOUTOHENKOU</t>
  </si>
  <si>
    <t>cst_wskakunin_KOUJI_YOUTOHENKOU_box</t>
  </si>
  <si>
    <t>確認・計変のみ</t>
  </si>
  <si>
    <t>大規模の修繕</t>
  </si>
  <si>
    <t>**wskakunin_KOUJI_DAI_SYUUZEN</t>
  </si>
  <si>
    <t>cst_wskakunin_KOUJI_DAI_SYUUZEN_box</t>
  </si>
  <si>
    <t>大規模の模様替</t>
  </si>
  <si>
    <t>**wskakunin_KOUJI_DAI_MOYOUGAE</t>
  </si>
  <si>
    <t>cst_wskakunin_KOUJI_DAI_MOYOUGAE_box</t>
  </si>
  <si>
    <t>建築設備の設置</t>
  </si>
  <si>
    <t>**wskakuninKOUJI_SETUBI</t>
  </si>
  <si>
    <t>cst_wskakunin_KOUJI_SETUBI_box</t>
  </si>
  <si>
    <t>中間・完了のみ</t>
  </si>
  <si>
    <t>-長期第二面表記用</t>
  </si>
  <si>
    <t>cst_wskakunin_KOUJI_zoukaitiku_box</t>
  </si>
  <si>
    <t>工作物の概要</t>
  </si>
  <si>
    <t>種類コード</t>
  </si>
  <si>
    <t>**wskakunin_gaiyou1_WORK_SYURUI_CODE</t>
  </si>
  <si>
    <t>cst_wskakunin_gaiyou1_WORK_SYURUI_CODE</t>
  </si>
  <si>
    <t>種類</t>
  </si>
  <si>
    <t>**wskakunin_gaiyou1_WORK_SYURUI</t>
  </si>
  <si>
    <t>cst_wskakunin_gaiyou1_WORK_SYURUI</t>
  </si>
  <si>
    <t>高さ</t>
  </si>
  <si>
    <t>**wskakunin_gaiyou1_TAKASA</t>
  </si>
  <si>
    <t>cst_wskakunin_gaiyou1_TAKASA</t>
  </si>
  <si>
    <t>**wskakunin_gaiyou1_KOUZOU</t>
  </si>
  <si>
    <t>cst_wskakunin_gaiyou1_KOUZOU</t>
  </si>
  <si>
    <t>工事種別-新築</t>
  </si>
  <si>
    <t>**wskakunin_gaiyou1_KOUJI_SINTIKU</t>
  </si>
  <si>
    <t>cst_wskakunin_gaiyou1_KOUJI_SINTIKU</t>
  </si>
  <si>
    <t>工事種別-増築</t>
  </si>
  <si>
    <t>**wskakunin_gaiyou1_KOUJI_ZOUTIKU</t>
  </si>
  <si>
    <t>cst_wskakunin_gaiyou1_KOUJI_ZOUTIKU</t>
  </si>
  <si>
    <t>工事種別-改築</t>
  </si>
  <si>
    <t>**wskakunin_gaiyou1_KOUJI_KAITIKU</t>
  </si>
  <si>
    <t>cst_wskakunin_gaiyou1_KOUJI_KAITIKU</t>
  </si>
  <si>
    <t>工事種別-その他</t>
  </si>
  <si>
    <t>**wskakunin_gaiyou1_KOUJI_SONOTA</t>
  </si>
  <si>
    <t>cst_wskakunin_gaiyou1_KOUJI_SONOTA</t>
  </si>
  <si>
    <t>工事種別-その他()</t>
  </si>
  <si>
    <t>**wskakunin_gaiyou1_KOUJI_SONOTA_TEXT</t>
  </si>
  <si>
    <t>cst_wskakunin_gaiyou1_KOUJI_SONOTA_TEXT</t>
  </si>
  <si>
    <t>築造面積_申請部分</t>
  </si>
  <si>
    <t>**wskakunin_gaiyou1_TIKUZOU_MENSEKI_SHINSEI</t>
  </si>
  <si>
    <t>cst_wskakunin_gaiyou1_TIKUZOU_MENSEKI_SHINSEI</t>
  </si>
  <si>
    <t>築造面積_申請以外の部分</t>
  </si>
  <si>
    <t>**wskakunin_gaiyou1_TIKUZOU_MENSEKI_IGAI</t>
  </si>
  <si>
    <t>cst_wskakunin_gaiyou1_TIKUZOU_MENSEKI_IGAI</t>
  </si>
  <si>
    <t>築造面積_合計</t>
  </si>
  <si>
    <t>**wskakunin_gaiyou1_TIKUZOU_MENSEKI_TOTAL</t>
  </si>
  <si>
    <t>cst_wskakunin_gaiyou1_TIKUZOU_MENSEKI_TOTAL</t>
  </si>
  <si>
    <t>工作物の数_申請部分</t>
  </si>
  <si>
    <t>**wskakunin_gaiyou1_WORK_COUNT_SHINSEI</t>
  </si>
  <si>
    <t>cst_wskakunin_gaiyou1_WORK_COUNT_SHINSEI</t>
  </si>
  <si>
    <t>工作物の数_申請以外部分</t>
  </si>
  <si>
    <t>**wskakunin_gaiyou1_WORK_COUNT_IGAI</t>
  </si>
  <si>
    <t>cst_wskakunin_gaiyou1_WORK_COUNT_IGAI</t>
  </si>
  <si>
    <t>工作物の数_合計</t>
  </si>
  <si>
    <t>**wskakunin_gaiyou1_WORK_COUNT_TOTAL</t>
  </si>
  <si>
    <t>cst_wskakunin_gaiyou1_WORK_COUNT_TOTAL</t>
  </si>
  <si>
    <t>昇降機の概要</t>
  </si>
  <si>
    <t>番号</t>
  </si>
  <si>
    <t>**wskakunin_gaiyou1_NO</t>
  </si>
  <si>
    <t>cst_wskakunin_gaiyou1_NO</t>
  </si>
  <si>
    <t>種別</t>
  </si>
  <si>
    <t>**wskakunin_gaiyou1_EV_KIND</t>
  </si>
  <si>
    <t>cst_wskakunin_gaiyou1_EV_KIND</t>
  </si>
  <si>
    <t>用途</t>
  </si>
  <si>
    <t>**wskakunin_gaiyou1_YOUTO</t>
  </si>
  <si>
    <t>cst_wskakunin_gaiyou1_YOUTO</t>
  </si>
  <si>
    <t>積載荷重</t>
  </si>
  <si>
    <t>**wskakunin_gaiyou1_SEKISAI</t>
  </si>
  <si>
    <t>cst_wskakunin_gaiyou1_SEKISAI</t>
  </si>
  <si>
    <t>最大定員</t>
  </si>
  <si>
    <t>**wskakunin_gaiyou1_TEIIN</t>
  </si>
  <si>
    <t>cst_wskakunin_gaiyou1_TEIIN</t>
  </si>
  <si>
    <t>定格速度</t>
  </si>
  <si>
    <t>**wskakunin_gaiyou1_SPEED</t>
  </si>
  <si>
    <t>cst_wskakunin_gaiyou1_SPEED</t>
  </si>
  <si>
    <t>その他必要な事項</t>
  </si>
  <si>
    <t>**wskakunin_gaiyou1_SONOTA</t>
  </si>
  <si>
    <t>cst_wskakunin_gaiyou1_SONOTA</t>
  </si>
  <si>
    <t>認証番号</t>
  </si>
  <si>
    <t>**wskakunin_gaiyou1_NINSYOU_NO</t>
  </si>
  <si>
    <t>cst_wskakunin_gaiyou1_NINSYOU_NO</t>
  </si>
  <si>
    <t>その他必要事項+認証番号</t>
  </si>
  <si>
    <t>**wskakunin_gaiyou1_SONOTA_and_NINSYOU_NO</t>
  </si>
  <si>
    <t>cst_wskakunin_gaiyou1_SONOTA_and_NINSYOU_NO</t>
  </si>
  <si>
    <t>10.建築面積</t>
  </si>
  <si>
    <t>申請部分</t>
  </si>
  <si>
    <t>**wskakunin_KENTIKU_MENSEKI_SHINSEI</t>
  </si>
  <si>
    <t>cst_wskakunin_KENTIKU_MENSEKI_SHINSEI</t>
  </si>
  <si>
    <t>申請以外の部分</t>
  </si>
  <si>
    <t>**wskakunin_KENTIKU_MENSEKI_IGAI</t>
  </si>
  <si>
    <t>cst_wskakunin_KENTIKU_MENSEKI_IGAI</t>
  </si>
  <si>
    <t>合計</t>
  </si>
  <si>
    <t>**wskakunin_KENTIKU_MENSEKI_TOTAL</t>
  </si>
  <si>
    <t>cst_wskakunin_KENTIKU_MENSEKI_TOTAL</t>
  </si>
  <si>
    <t>**wskakunin_KENPEI_RITU</t>
  </si>
  <si>
    <t>cst_wskakunin_KENPEI_RITU</t>
  </si>
  <si>
    <t>11.延べ面積</t>
  </si>
  <si>
    <t>建築物全体</t>
  </si>
  <si>
    <t>**wskakunin_NOBE_MENSEKI_BUILD_SHINSEI</t>
  </si>
  <si>
    <t>cst_wskakunin_NOBE_MENSEKI_BUILD_SHINSEI</t>
  </si>
  <si>
    <t>**wskakunin_NOBE_MENSEKI_BUILD_IGAI</t>
  </si>
  <si>
    <t>cst_wskakunin_NOBE_MENSEKI_BUILD_IGAI</t>
  </si>
  <si>
    <t>**wskakunin_NOBE_MENSEKI_BUILD_TOTAL</t>
  </si>
  <si>
    <t>cst_wskakunin_NOBE_MENSEKI_BUILD_TOTAL</t>
  </si>
  <si>
    <t>地階の住宅</t>
  </si>
  <si>
    <t>**wskakunin_NOBE_MENSEKI_TIKAI_SHINSEI</t>
  </si>
  <si>
    <t>cst_wskakunin_NOBE_MENSEKI_TIKAI_SHINSEI</t>
  </si>
  <si>
    <t>**wskakunin_NOBE_MENSEKI_TIKAI_IGAI</t>
  </si>
  <si>
    <t>cst_wskakunin_NOBE_MENSEKI_TIKAI_IGAI</t>
  </si>
  <si>
    <t>**wskakunin_NOBE_MENSEKI_TIKAI_TOTAL</t>
  </si>
  <si>
    <t>cst_wskakunin_NOBE_MENSEKI_TIKAI_TOTAL</t>
  </si>
  <si>
    <t>エレベーター</t>
  </si>
  <si>
    <t>**wskakunin_NOBE_MENSEKI_SYOUKOURO_SHINSEI</t>
  </si>
  <si>
    <t>cst_wskakunin_NOBE_MENSEKI_SYOUKOURO_SHINSEI</t>
  </si>
  <si>
    <t>**wskakunin_NOBE_MENSEKI_SYOUKOURO_IGAI</t>
  </si>
  <si>
    <t>cst_wskakunin_NOBE_MENSEKI_SYOUKOURO_IGAI</t>
  </si>
  <si>
    <t>**wskakunin_NOBE_MENSEKI_SYOUKOURO_TOTAL</t>
  </si>
  <si>
    <t>cst_wskakunin_NOBE_MENSEKI_SYOUKOURO_TOTAL</t>
  </si>
  <si>
    <t>共同住宅の共用</t>
  </si>
  <si>
    <t>**wskakunin_NOBE_MENSEKI_KYOYOU_SHINSEI</t>
  </si>
  <si>
    <t>cst_wskakunin_NOBE_MENSEKI_KYOYOU_SHINSEI</t>
  </si>
  <si>
    <t>**wskakunin_NOBE_MENSEKI_KYOYOU_IGAI</t>
  </si>
  <si>
    <t>cst_wskakunin_NOBE_MENSEKI_KYOYOU_IGAI</t>
  </si>
  <si>
    <t>**wskakunin_NOBE_MENSEKI_KYOYOU_TOTAL</t>
  </si>
  <si>
    <t>cst_wskakunin_NOBE_MENSEKI_KYOYOU_TOTAL</t>
  </si>
  <si>
    <t>自動車車庫等の部分</t>
  </si>
  <si>
    <t>**wskakunin_NOBE_MENSEKI_SYAKO_SHINSEI</t>
  </si>
  <si>
    <t>cst_wskakunin_NOBE_MENSEKI_SYAKO_SHINSEI</t>
  </si>
  <si>
    <t>**wskakunin_NOBE_MENSEKI_SYAKO_IGAI</t>
  </si>
  <si>
    <t>cst_wskakunin_NOBE_MENSEKI_SYAKO_IGAI</t>
  </si>
  <si>
    <t>**wskakunin_NOBE_MENSEKI_SYAKO_TOTAL</t>
  </si>
  <si>
    <t>cst_wskakunin_NOBE_MENSEKI_SYAKO_TOTAL</t>
  </si>
  <si>
    <t>備蓄倉庫の部分</t>
  </si>
  <si>
    <t>**wskakunin_NOBE_MENSEKI_BITIKUSOUKO_SHINSEI</t>
  </si>
  <si>
    <t>cst_wskakunin_NOBE_MENSEKI_BITIKUSOUKO_SHINSEI</t>
  </si>
  <si>
    <t>**wskakunin_NOBE_MENSEKI_BITIKUSOUKO_IGAI</t>
  </si>
  <si>
    <t>cst_wskakunin_NOBE_MENSEKI_BITIKUSOUKO_IGAI</t>
  </si>
  <si>
    <t>**wskakunin_NOBE_MENSEKI_BITIKUSOUKO_TOTAL</t>
  </si>
  <si>
    <t>cst_wskakunin_NOBE_MENSEKI_BITIKUSOUKO_TOTAL</t>
  </si>
  <si>
    <t>蓄電池の設置部分</t>
  </si>
  <si>
    <t>**wskakunin_NOBE_MENSEKI_TIKUDENTI_SHINSEI</t>
  </si>
  <si>
    <t>cst_wskakunin_NOBE_MENSEKI_TIKUDENTI_SHINSEI</t>
  </si>
  <si>
    <t>**wskakunin_NOBE_MENSEKI_TIKUDENTI_IGAI</t>
  </si>
  <si>
    <t>cst_wskakunin_NOBE_MENSEKI_TIKUDENTI_IGAI</t>
  </si>
  <si>
    <t>**wskakunin_NOBE_MENSEKI_TIKUDENTI_TOTAL</t>
  </si>
  <si>
    <t>cst_wskakunin_NOBE_MENSEKI_TIKUDENTI_TOTAL</t>
  </si>
  <si>
    <t>自家発電設備</t>
  </si>
  <si>
    <t>**wskakunin_NOBE_MENSEKI_JIKAHATUDEN_SHINSEI</t>
  </si>
  <si>
    <t>cst_wskakunin_NOBE_MENSEKI_JIKAHATUDEN_SHINSEI</t>
  </si>
  <si>
    <t>**wskakunin_NOBE_MENSEKI_JIKAHATUDEN_IGAI</t>
  </si>
  <si>
    <t>cst_wskakunin_NOBE_MENSEKI_JIKAHATUDEN_IGAI</t>
  </si>
  <si>
    <t>**wskakunin_NOBE_MENSEKI_JIKAHATUDEN_TOTAL</t>
  </si>
  <si>
    <t>cst_wskakunin_NOBE_MENSEKI_JIKAHATUDEN_TOTAL</t>
  </si>
  <si>
    <t>有無表示</t>
  </si>
  <si>
    <t>貯水槽の設置部分</t>
  </si>
  <si>
    <t>**wskakunin_NOBE_MENSEKI_CHOSUISOU_SHINSEI</t>
  </si>
  <si>
    <t>cst_wskakunin_NOBE_MENSEKI_CHOSUISOU_SHINSEI</t>
  </si>
  <si>
    <t>**wskakunin_NOBE_MENSEKI_CHOSUISOU_IGAI</t>
  </si>
  <si>
    <t>cst_wskakunin_NOBE_MENSEKI_CHOSUISOU_IGAI</t>
  </si>
  <si>
    <t>**wskakunin_NOBE_MENSEKI_CHOSUISOU_TOTAL</t>
  </si>
  <si>
    <t>cst_wskakunin_NOBE_MENSEKI_CHOSUISOU_TOTAL</t>
  </si>
  <si>
    <t>宅配ﾎﾞｯｸｽの設置部分</t>
  </si>
  <si>
    <t>**wskakunin_NOBE_MENSEKI_TAKUHAI_SHINSEI</t>
  </si>
  <si>
    <t>cst_wskakunin_NOBE_MENSEKI_TAKUHAI_SHINSEI</t>
  </si>
  <si>
    <t>**wskakunin_NOBE_MENSEKI_TAKUHAI_IGAI</t>
  </si>
  <si>
    <t>cst_wskakunin_NOBE_MENSEKI_TAKUHAI_IGAI</t>
  </si>
  <si>
    <t>**wskakunin_NOBE_MENSEKI_TAKUHAI_TOTAL</t>
  </si>
  <si>
    <t>cst_wskakunin_NOBE_MENSEKI_TAKUHAI_TOTAL</t>
  </si>
  <si>
    <t>住宅の部分</t>
  </si>
  <si>
    <t>**wskakunin_NOBE_MENSEKI_JYUTAKU_SHINSEI</t>
  </si>
  <si>
    <t>cst_wskakunin_NOBE_MENSEKI_JYUTAKU_SHINSEI</t>
  </si>
  <si>
    <t>**wskakunin_NOBE_MENSEKI_JYUTAKU_IGAI</t>
  </si>
  <si>
    <t>cst_wskakunin_NOBE_MENSEKI_JYUTAKU_IGAI</t>
  </si>
  <si>
    <t>**wskakunin_NOBE_MENSEKI_JYUTAKU_TOTAL</t>
  </si>
  <si>
    <t>cst_wskakunin_NOBE_MENSEKI_JYUTAKU_TOTAL</t>
  </si>
  <si>
    <t>老人ホーム</t>
  </si>
  <si>
    <t>**wskakunin_NOBE_MENSEKI_ROUJIN_SHINSEI</t>
  </si>
  <si>
    <t>cst_wskakunin_NOBE_MENSEKI_ROUJIN_SHINSEI</t>
  </si>
  <si>
    <t>**wskakunin_NOBE_MENSEKI_ROUJIN_IGAI</t>
  </si>
  <si>
    <t>cst_wskakunin_NOBE_MENSEKI_ROUJIN_IGAI</t>
  </si>
  <si>
    <t>**wskakunin_NOBE_MENSEKI_ROUJIN_TOTAL</t>
  </si>
  <si>
    <t>cst_wskakunin_NOBE_MENSEKI_ROUJIN_TOTAL</t>
  </si>
  <si>
    <t>延べ面積</t>
  </si>
  <si>
    <t>**wskakunin_NOBE_MENSEKI</t>
  </si>
  <si>
    <t>cst_wskakunin_NOBE_MENSEKI</t>
  </si>
  <si>
    <t>**wskakunin_YOUSEKI_RITU</t>
  </si>
  <si>
    <t>cst_wskakunin_YOUSEKI_RITU</t>
  </si>
  <si>
    <t>12.建築物の数</t>
  </si>
  <si>
    <t>申請に係る建築物の数</t>
  </si>
  <si>
    <t>**wskakunin_BUILD_SHINSEI_COUNT</t>
  </si>
  <si>
    <t>cst_wskakunin_BUILD_SHINSEI_COUNT</t>
  </si>
  <si>
    <t>同一敷地内の他の建築物の数</t>
  </si>
  <si>
    <t>**wskakunin_BUILD_SONOTA_COUNT</t>
  </si>
  <si>
    <t>cst_wskakunin_BUILD_SONOTA_COUNT</t>
  </si>
  <si>
    <t>13.建築物の高さ等</t>
  </si>
  <si>
    <t>最高の高さ</t>
  </si>
  <si>
    <t>申請に係る建築物</t>
  </si>
  <si>
    <t>**wskakunin_TAKASA_MAX_SHINSEI</t>
  </si>
  <si>
    <t>cst_wskakunin_TAKASA_MAX_SHINSEI</t>
  </si>
  <si>
    <t>他の建築物</t>
  </si>
  <si>
    <t>**wskakunin_TAKASA_MAX_SONOTA</t>
  </si>
  <si>
    <t>cst_wskakunin_TAKASA_MAX_SONOTA</t>
  </si>
  <si>
    <t>階数-地上</t>
  </si>
  <si>
    <t>**wskakunin_KAISU_TIJYOU_SHINSEI</t>
  </si>
  <si>
    <t>cst_wskakunin_KAISU_TIJYOU_SHINSEI</t>
  </si>
  <si>
    <t>**wskakunin_KAISU_TIJYOU_SONOTA</t>
  </si>
  <si>
    <t>cst_wskakunin_KAISU_TIJYOU_SONOTA</t>
  </si>
  <si>
    <t>階数-地下</t>
  </si>
  <si>
    <t>**wskakunin_KAISU_TIKA_SHINSEI__zero</t>
  </si>
  <si>
    <t>cst_wskakunin_KAISU_TIKA_SHINSEI__zero</t>
  </si>
  <si>
    <t>**wskakunin_KAISU_TIKA_SONOTA</t>
  </si>
  <si>
    <t>cst_wskakunin_KAISU_TIKA_SONOTA</t>
  </si>
  <si>
    <t>**wskakunin_KOUZOU1</t>
  </si>
  <si>
    <t>cst_wskakunin_KOUZOU1</t>
  </si>
  <si>
    <t>一部</t>
  </si>
  <si>
    <t>**wskakunin_KOUZOU2</t>
  </si>
  <si>
    <t>cst_wskakunin_KOUZOU2</t>
  </si>
  <si>
    <t>cst_wskakunin_KOUZOU_mokuzou</t>
  </si>
  <si>
    <t>cst_wskakunin_KOUZOU_zairai</t>
  </si>
  <si>
    <t>cst_wskakunin_KOUZOU</t>
  </si>
  <si>
    <t>特例の適用の有無</t>
  </si>
  <si>
    <t>特例の有無</t>
  </si>
  <si>
    <t>**wskakunin_TOKUREI_TAKASA</t>
  </si>
  <si>
    <t>cst_wskakunin_TOKUREI_TAKASA</t>
  </si>
  <si>
    <t>ボックス-有</t>
  </si>
  <si>
    <t>cst_wskakunin_TOKUREI_TAKASA_box_on</t>
  </si>
  <si>
    <t>ボックス-無</t>
  </si>
  <si>
    <t>cst_wskakunin_TOKUREI_TAKASA_box_off</t>
  </si>
  <si>
    <t>特例の区分</t>
  </si>
  <si>
    <t>道路高さ制限不適用</t>
  </si>
  <si>
    <t>**wskakunin_TOKUREI_TAKASA_DOURO</t>
  </si>
  <si>
    <t>cst_wskakunin_TOKUREI_TAKASA_DOURO</t>
  </si>
  <si>
    <t>隣地高さ制限不適用</t>
  </si>
  <si>
    <t>**wskakunin_TOKUREI_TAKASA_RINTI</t>
  </si>
  <si>
    <t>cst_wskakunin_TOKUREI_TAKASA_RINTI</t>
  </si>
  <si>
    <t>北側高さ制限不適用</t>
  </si>
  <si>
    <t>**wskakunin_TOKUREI_TAKASA_KITA</t>
  </si>
  <si>
    <t>cst_wskakunin_TOKUREI_TAKASA_KITA</t>
  </si>
  <si>
    <t>14.許可認定等</t>
  </si>
  <si>
    <t>**wskakunin_kyoka##_****</t>
  </si>
  <si>
    <t>根拠となる法令</t>
  </si>
  <si>
    <t>**wskakunin_kyoka01_HOUREI</t>
  </si>
  <si>
    <t>cst_wskakunin_kyoka01_HOUREI</t>
  </si>
  <si>
    <t>根拠となる法令の条項</t>
  </si>
  <si>
    <t>**wskakunin_kyoka01_JOUKOU</t>
  </si>
  <si>
    <t>cst_wskakunin_kyoka01_JOUKOU</t>
  </si>
  <si>
    <t>許可・認定等の番号</t>
  </si>
  <si>
    <t>**wskakunin_kyoka01_KYOKA_NO</t>
  </si>
  <si>
    <t>cst_wskakunin_kyoka01_KYOKA_NO</t>
  </si>
  <si>
    <t>認可・認定等を受けた日付</t>
  </si>
  <si>
    <t>**wskakunin_kyoka01_KYOKA_DATE</t>
  </si>
  <si>
    <t>cst_wskakunin_kyoka01_KYOKA_DATE</t>
  </si>
  <si>
    <t>**wskakunin_kyoka01_BIKOU</t>
  </si>
  <si>
    <t>cst_wskakunin_kyoka01_BIKOU</t>
  </si>
  <si>
    <t>許可01一括出力</t>
  </si>
  <si>
    <t>2.</t>
  </si>
  <si>
    <t>**wskakunin_kyoka02_HOUREI</t>
  </si>
  <si>
    <t>cst_wskakunin_kyoka02_HOUREI</t>
  </si>
  <si>
    <t>**wskakunin_kyoka02_JOUKOU</t>
  </si>
  <si>
    <t>cst_wskakunin_kyoka02_JOUKOU</t>
  </si>
  <si>
    <t>**wskakunin_kyoka02_KYOKA_NO</t>
  </si>
  <si>
    <t>cst_wskakunin_kyoka02_KYOKA_NO</t>
  </si>
  <si>
    <t>**wskakunin_kyoka02_KYOKA_DATE</t>
  </si>
  <si>
    <t>cst_wskakunin_kyoka02_KYOKA_DATE</t>
  </si>
  <si>
    <t>**wskakunin_kyoka02_BIKOU</t>
  </si>
  <si>
    <t>cst_wskakunin_kyoka02_BIKOU</t>
  </si>
  <si>
    <t>許可02一括出力</t>
  </si>
  <si>
    <t>3.</t>
  </si>
  <si>
    <t>**wskakunin_kyoka03_HOUREI</t>
  </si>
  <si>
    <t>cst_wskakunin_kyoka03_HOUREI</t>
  </si>
  <si>
    <t>**wskakunin_kyoka03_JOUKOU</t>
  </si>
  <si>
    <t>cst_wskakunin_kyoka03_JOUKOU</t>
  </si>
  <si>
    <t>**wskakunin_kyoka03_KYOKA_NO</t>
  </si>
  <si>
    <t>cst_wskakunin_kyoka03_KYOKA_NO</t>
  </si>
  <si>
    <t>**wskakunin_kyoka03_KYOKA_DATE</t>
  </si>
  <si>
    <t>cst_wskakunin_kyoka03_KYOKA_DATE</t>
  </si>
  <si>
    <t>**wskakunin_kyoka03_BIKOU</t>
  </si>
  <si>
    <t>cst_wskakunin_kyoka03_BIKOU</t>
  </si>
  <si>
    <t>許可03一括出力</t>
  </si>
  <si>
    <t>一括出力</t>
  </si>
  <si>
    <t>cst_wskakunin_kyoka_HOUREI_all</t>
  </si>
  <si>
    <t>現在、３行対応。</t>
  </si>
  <si>
    <t>15.工事着手予定年月日</t>
  </si>
  <si>
    <t>**wskakunin_KOUJI_TYAKUSYU_YOTEI_DATE</t>
  </si>
  <si>
    <t>cst_wskakunin_KOUJI_TYAKUSYU_YOTEI_DATE</t>
  </si>
  <si>
    <t>16.工事完了予定年月日</t>
  </si>
  <si>
    <t>**wskakunin_KOUJI_KANRYOU_YOTEI_DATE</t>
  </si>
  <si>
    <t>cst_wskakunin_KOUJI_KANRYOU_YOTEI_DATE</t>
  </si>
  <si>
    <t>工事期間-年</t>
  </si>
  <si>
    <t>cst_koujikikan_year</t>
  </si>
  <si>
    <t>工事期間-月</t>
  </si>
  <si>
    <t>cst_koujikikan_month</t>
  </si>
  <si>
    <t>17.特定工程工事終了予定年月日</t>
  </si>
  <si>
    <t>回数</t>
  </si>
  <si>
    <t>**wskakunin_koutei01_KOUTEI_KAISUU</t>
  </si>
  <si>
    <t>cst_wskakunin_koutei01_KOUTEI_KAISUU</t>
  </si>
  <si>
    <t>終了予定日</t>
  </si>
  <si>
    <t>**wskakunin_koutei01_KOUTEI_DATE</t>
  </si>
  <si>
    <t>cst_wskakunin_koutei01_KOUTEI_DATE</t>
  </si>
  <si>
    <t>特定工程</t>
  </si>
  <si>
    <t>**wskakunin_koutei01_KOUTEI_TEXT</t>
  </si>
  <si>
    <t>cst_wskakunin_koutei01_KOUTEI_TEXT</t>
  </si>
  <si>
    <t>**wskakunin_koutei02_KOUTEI_KAISUU</t>
  </si>
  <si>
    <t>cst_wskakunin_koutei02_KOUTEI_KAISUU</t>
  </si>
  <si>
    <t>**wskakunin_koutei02_KOUTEI_DATE</t>
  </si>
  <si>
    <t>cst_wskakunin_koutei02_KOUTEI_DATE</t>
  </si>
  <si>
    <t>**wskakunin_koutei02_KOUTEI_TEXT</t>
  </si>
  <si>
    <t>cst_wskakunin_koutei02_KOUTEI_TEXT</t>
  </si>
  <si>
    <t>**wskakunin_koutei03_KOUTEI_KAISUU</t>
  </si>
  <si>
    <t>cst_wskakunin_koutei03_KOUTEI_KAISUU</t>
  </si>
  <si>
    <t>**wskakunin_koutei03_KOUTEI_DATE</t>
  </si>
  <si>
    <t>cst_wskakunin_koutei03_KOUTEI_DATE</t>
  </si>
  <si>
    <t>**wskakunin_koutei03_KOUTEI_TEXT</t>
  </si>
  <si>
    <t>cst_wskakunin_koutei03_KOUTEI_TEXT</t>
  </si>
  <si>
    <t>4.</t>
  </si>
  <si>
    <t>**wskakunin_koutei04_KOUTEI_KAISUU</t>
  </si>
  <si>
    <t>cst_wskakunin_koutei04_KOUTEI_KAISUU</t>
  </si>
  <si>
    <t>**wskakunin_koutei04_KOUTEI_DATE</t>
  </si>
  <si>
    <t>cst_wskakunin_koutei04_KOUTEI_DATE</t>
  </si>
  <si>
    <t>**wskakunin_koutei04_KOUTEI_TEXT</t>
  </si>
  <si>
    <t>cst_wskakunin_koutei04_KOUTEI_TEXT</t>
  </si>
  <si>
    <t>防火設備の有無</t>
  </si>
  <si>
    <t>**wskakunin_BOUKA_SETUBI_FLAG</t>
  </si>
  <si>
    <t>cst_wskakunin_BOUKA_SETUBI_FLAG</t>
  </si>
  <si>
    <t>cst_wskakunin_BOUKA_SETUBI_FLAG_box_on</t>
  </si>
  <si>
    <t>cst_wskakunin_BOUKA_SETUBI_FLAG_box_off</t>
  </si>
  <si>
    <t>18.その他必要な事項</t>
  </si>
  <si>
    <t>**wskakunin_P3_SONOTA</t>
  </si>
  <si>
    <t>cst_wskakunin_P3_SONOTA</t>
  </si>
  <si>
    <t>19.備考</t>
  </si>
  <si>
    <t>**wskakunin_P3_BIKOU</t>
  </si>
  <si>
    <t>cst_wskakunin_P3_BIKOU</t>
  </si>
  <si>
    <t>中間検査申請</t>
  </si>
  <si>
    <t>【2.工事種別】</t>
  </si>
  <si>
    <t>【ｲ.建築基準法施工令第10条各号に掲げる建築物の区分</t>
  </si>
  <si>
    <t>文字出力</t>
  </si>
  <si>
    <t>cst_wskakunin_TOKUREI_txt</t>
  </si>
  <si>
    <t>第１号</t>
  </si>
  <si>
    <t>**wskakunin_TOKUREI_1</t>
  </si>
  <si>
    <t>第２号</t>
  </si>
  <si>
    <t>**wskakunin_TOKUREI_2</t>
  </si>
  <si>
    <t>第３号</t>
  </si>
  <si>
    <t>**wskakunin_TOKUREI_3</t>
  </si>
  <si>
    <t>第４号</t>
  </si>
  <si>
    <t>**wskakunin_TOKUREI_4</t>
  </si>
  <si>
    <t>1</t>
  </si>
  <si>
    <t>【ﾊ.建築基準法第68条の20第２項の検査の特例に係る認証番号</t>
  </si>
  <si>
    <t>**wskakunin_KENTIKU_NINSYO_NO</t>
  </si>
  <si>
    <t>cst_wskakunin_KENTIKU_NINSYO_NO</t>
  </si>
  <si>
    <t>【6.工事着手年月日】</t>
  </si>
  <si>
    <t>**wskakunin_KOUJI_TYAKUSYU_DATE</t>
  </si>
  <si>
    <t>cst_wskakunin_KOUJI_TYAKUSYU_DATE_select</t>
  </si>
  <si>
    <t>※ 確認時：出力しない</t>
  </si>
  <si>
    <t>【7.工事完了予定年月日】</t>
  </si>
  <si>
    <t>西暦</t>
  </si>
  <si>
    <t>cst_wskakunin_KOUJI_KANRYOU_YOTEI_DATE_select</t>
  </si>
  <si>
    <t>【8.特定工程】</t>
  </si>
  <si>
    <t>【ｲ.特定工程】</t>
  </si>
  <si>
    <t>**wskakunin_TOKUTEI_KOUTEI</t>
  </si>
  <si>
    <t>土台、柱、はり及び筋かいを金物等により接合する工事の工程</t>
  </si>
  <si>
    <t>cst_wskakunin_TOKUTEI_KOUTEI</t>
  </si>
  <si>
    <t>select （ 1枚目と2枚目の処理が必要 ）</t>
  </si>
  <si>
    <t xml:space="preserve"> - 中間1枚目</t>
  </si>
  <si>
    <t>cst_wskakunin_TOKUTEI_KOUTEI_inter1</t>
  </si>
  <si>
    <t xml:space="preserve"> - 中間2枚目</t>
  </si>
  <si>
    <t>cst_wskakunin_TOKUTEI_KOUTEI_inter2</t>
  </si>
  <si>
    <t>【ﾛ.特定工程工事終了年月日】</t>
  </si>
  <si>
    <t>**wskakunin_TOKUTEI_KOUJI_KANRYOU_DATE</t>
  </si>
  <si>
    <t>cst_wskakunin_TOKUTEI_KOUJI_KANRYOU_DATE_select</t>
  </si>
  <si>
    <t>【ﾊ.検査対象床面積】</t>
  </si>
  <si>
    <t>**wskakunin_KENSA_YUKA_MENSEKI</t>
  </si>
  <si>
    <t>cst_wskakunin_KENSA_YUKA_MENSEKI_select</t>
  </si>
  <si>
    <t>【9.今回申請以前の中間検査】</t>
  </si>
  <si>
    <t>**wskakunin_koutei_izen01_KOUTEI_KAISUU</t>
  </si>
  <si>
    <t>cst_wskakunin_koutei_izen01_KOUTEI_KAISUU</t>
  </si>
  <si>
    <t>**wskakunin_koutei_izen01_KOUTEI_TEXT</t>
  </si>
  <si>
    <t>cst_wskakunin_koutei_izen01_KOUTEI_TEXT</t>
  </si>
  <si>
    <t>【ﾛ.中間検査合格証交付者】</t>
  </si>
  <si>
    <t>**wskakunin_koutei_izen01_INTER_ISSUE_NAME</t>
  </si>
  <si>
    <t>cst_wskakunin_koutei_izen01_INTER_ISSUE_NAME</t>
  </si>
  <si>
    <t>【ﾊ.中間検査合格証番号】</t>
  </si>
  <si>
    <t>**wskakunin_koutei_izen01_INTER_ISSUE_NO</t>
  </si>
  <si>
    <t>cst_wskakunin_koutei_izen01_INTER_ISSUE_NO</t>
  </si>
  <si>
    <t>【ﾆ.交付年月日】</t>
  </si>
  <si>
    <t>**wskakunin_koutei_izen01_INTER_ISSUE_DATE</t>
  </si>
  <si>
    <t>cst_wskakunin_koutei_izen01_INTER_ISSUE_DATE</t>
  </si>
  <si>
    <t>**wskakunin_koutei_izen02_KOUTEI_KAISUU</t>
  </si>
  <si>
    <t>cst_wskakunin_koutei_izen02_KOUTEI_KAISUU</t>
  </si>
  <si>
    <t>**wskakunin_koutei_izen02_KOUTEI_TEXT</t>
  </si>
  <si>
    <t>cst_wskakunin_koutei_izen02_KOUTEI_TEXT</t>
  </si>
  <si>
    <t>**wskakunin_koutei_izen02_INTER_ISSUE_NAME</t>
  </si>
  <si>
    <t>cst_wskakunin_koutei_izen02_INTER_ISSUE_NAME</t>
  </si>
  <si>
    <t>**wskakunin_koutei_izen02_INTER_ISSUE_NO</t>
  </si>
  <si>
    <t>cst_wskakunin_koutei_izen02_INTER_ISSUE_NO</t>
  </si>
  <si>
    <t>**wskakunin_koutei_izen02_INTER_ISSUE_DATE</t>
  </si>
  <si>
    <t>cst_wskakunin_koutei_izen02_INTER_ISSUE_DATE</t>
  </si>
  <si>
    <t>**wskakunin_koutei_izen03_KOUTEI_KAISUU</t>
  </si>
  <si>
    <t>cst_wskakunin_koutei_izen03_KOUTEI_KAISUU</t>
  </si>
  <si>
    <t>**wskakunin_koutei_izen03_KOUTEI_TEXT</t>
  </si>
  <si>
    <t>cst_wskakunin_koutei_izen03_KOUTEI_TEXT</t>
  </si>
  <si>
    <t>**wskakunin_koutei_izen03_INTER_ISSUE_NAME</t>
  </si>
  <si>
    <t>cst_wskakunin_koutei_izen03_INTER_ISSUE_NAME</t>
  </si>
  <si>
    <t>**wskakunin_koutei_izen03_INTER_ISSUE_NO</t>
  </si>
  <si>
    <t>cst_wskakunin_koutei_izen03_INTER_ISSUE_NO</t>
  </si>
  <si>
    <t>**wskakunin_koutei_izen03_INTER_ISSUE_DATE</t>
  </si>
  <si>
    <t>cst_wskakunin_koutei_izen03_INTER_ISSUE_DATE</t>
  </si>
  <si>
    <t>**wskakunin_koutei_izen04_KOUTEI_KAISUU</t>
  </si>
  <si>
    <t>cst_wskakunin_koutei_izen04_KOUTEI_KAISUU</t>
  </si>
  <si>
    <t>**wskakunin_koutei_izen04_KOUTEI_TEXT</t>
  </si>
  <si>
    <t>cst_wskakunin_koutei_izen04_KOUTEI_TEXT</t>
  </si>
  <si>
    <t>**wskakunin_koutei_izen04_INTER_ISSUE_NAME</t>
  </si>
  <si>
    <t>cst_wskakunin_koutei_izen04_INTER_ISSUE_NAME</t>
  </si>
  <si>
    <t>**wskakunin_koutei_izen04_INTER_ISSUE_NO</t>
  </si>
  <si>
    <t>cst_wskakunin_koutei_izen04_INTER_ISSUE_NO</t>
  </si>
  <si>
    <t>**wskakunin_koutei_izen04_INTER_ISSUE_DATE</t>
  </si>
  <si>
    <t>cst_wskakunin_koutei_izen04_INTER_ISSUE_DATE</t>
  </si>
  <si>
    <t>以前の中間 左側：</t>
  </si>
  <si>
    <t>中間1枚目出力用</t>
  </si>
  <si>
    <t xml:space="preserve"> - 回数</t>
  </si>
  <si>
    <t>cst_wskakunin_koutei_izen01_KOUTEI_KAISUU_inter1</t>
  </si>
  <si>
    <t xml:space="preserve"> - 【ｲ.特定工程】</t>
  </si>
  <si>
    <t>cst_wskakunin_koutei_izen01_KOUTEI_TEXT_inter1</t>
  </si>
  <si>
    <t xml:space="preserve"> - 【ﾛ.中間検査合格証交付者】</t>
  </si>
  <si>
    <t>cst_wskakunin_koutei_izen01_INTER_ISSUE_NAME_inter1</t>
  </si>
  <si>
    <t xml:space="preserve"> - 【ﾊ.中間検査合格証番号】</t>
  </si>
  <si>
    <t>cst_wskakunin_koutei_izen01_INTER_ISSUE_NO_inter1</t>
  </si>
  <si>
    <t xml:space="preserve"> - 【ﾆ.交付年月日】</t>
  </si>
  <si>
    <t>cst_wskakunin_koutei_izen01_INTER_ISSUE_DATE_inter1</t>
  </si>
  <si>
    <t>中間2枚目出力用</t>
  </si>
  <si>
    <t>※ 確認時：特定工程1の入力があれば出力</t>
  </si>
  <si>
    <t>cst_wskakunin_koutei_izen01_KOUTEI_KAISUU_inter2</t>
  </si>
  <si>
    <t>cst_wskakunin_koutei_izen01_KOUTEI_TEXT_inter2</t>
  </si>
  <si>
    <t>cst_wskakunin_koutei_izen01_INTER_ISSUE_NAME_inter2</t>
  </si>
  <si>
    <t>cst_wskakunin_koutei_izen01_INTER_ISSUE_NO_inter2</t>
  </si>
  <si>
    <t>cst_wskakunin_koutei_izen01_INTER_ISSUE_DATE_inter2</t>
  </si>
  <si>
    <t>以前の中間 右側：</t>
  </si>
  <si>
    <t>cst_wskakunin_koutei_izen02_KOUTEI_KAISUU_inter1</t>
  </si>
  <si>
    <t>cst_wskakunin_koutei_izen02_KOUTEI_TEXT_inter1</t>
  </si>
  <si>
    <t>cst_wskakunin_koutei_izen02_INTER_ISSUE_NAME_inter1</t>
  </si>
  <si>
    <t>cst_wskakunin_koutei_izen02_INTER_ISSUE_NO_inter1</t>
  </si>
  <si>
    <t>cst_wskakunin_koutei_izen02_INTER_ISSUE_DATE_inter1</t>
  </si>
  <si>
    <t>cst_wskakunin_koutei_izen02_KOUTEI_KAISUU_inter2</t>
  </si>
  <si>
    <t>cst_wskakunin_koutei_izen02_KOUTEI_TEXT_inter2</t>
  </si>
  <si>
    <t>cst_wskakunin_koutei_izen02_INTER_ISSUE_NAME_inter2</t>
  </si>
  <si>
    <t>cst_wskakunin_koutei_izen02_INTER_ISSUE_NO_inter2</t>
  </si>
  <si>
    <t>cst_wskakunin_koutei_izen02_INTER_ISSUE_DATE_inter2</t>
  </si>
  <si>
    <t>【10.今回申請以降の中間検査】</t>
  </si>
  <si>
    <t>**wskakunin_koutei_ikou01_KOUTEI_KAISUU</t>
  </si>
  <si>
    <t>cst_wskakunin_koutei_ikou01_KOUTEI_KAISUU</t>
  </si>
  <si>
    <t>**wskakunin_koutei_ikou01_KOUTEI_TEXT</t>
  </si>
  <si>
    <t>cst_wskakunin_koutei_ikou01_KOUTEI_TEXT</t>
  </si>
  <si>
    <t>【ﾛ.特定工程工事終了予定年月日】</t>
  </si>
  <si>
    <t>**wskakunin_koutei_ikou01_KOUTEI_DATE</t>
  </si>
  <si>
    <t>cst_wskakunin_koutei_ikou01_KOUTEI_DATE</t>
  </si>
  <si>
    <t>2</t>
  </si>
  <si>
    <t>**wskakunin_koutei_ikou02_KOUTEI_KAISUU</t>
  </si>
  <si>
    <t>cst_wskakunin_koutei_ikou02_KOUTEI_KAISUU</t>
  </si>
  <si>
    <t>**wskakunin_koutei_ikou02_KOUTEI_TEXT</t>
  </si>
  <si>
    <t>cst_wskakunin_koutei_ikou02_KOUTEI_TEXT</t>
  </si>
  <si>
    <t>**wskakunin_koutei_ikou02_KOUTEI_DATE</t>
  </si>
  <si>
    <t>cst_wskakunin_koutei_ikou02_KOUTEI_DATE</t>
  </si>
  <si>
    <t>以降の中間 左側：</t>
  </si>
  <si>
    <t>※ 中間1枚目 - 確認時：特定工程2があれば出力</t>
  </si>
  <si>
    <t>cst_wskakunin_koutei_ikou01_KOUTEI_KAISUU_inter1</t>
  </si>
  <si>
    <t>cst_wskakunin_koutei_ikou01_KOUTEI_TEXT_inter1</t>
  </si>
  <si>
    <t xml:space="preserve"> - 【ﾛ.特定工程工事終了予定年月日】</t>
  </si>
  <si>
    <t>cst_wskakunin_koutei_ikou01_KOUTEI_DATE_inter1</t>
  </si>
  <si>
    <t>※ 中間2枚目 - 確認時：特定工程3があれば出力</t>
  </si>
  <si>
    <t>cst_wskakunin_koutei_ikou01_KOUTEI_KAISUU_inter2</t>
  </si>
  <si>
    <t>cst_wskakunin_koutei_ikou01_KOUTEI_TEXT_inter2</t>
  </si>
  <si>
    <t>cst_wskakunin_koutei_ikou01_KOUTEI_DATE_inter2</t>
  </si>
  <si>
    <t>以降の中間 右側：</t>
  </si>
  <si>
    <t>※ 中間1枚目 - 確認時：特定工程3があれば出力</t>
  </si>
  <si>
    <t>cst_wskakunin_koutei_ikou02_KOUTEI_KAISUU_inter1</t>
  </si>
  <si>
    <t>cst_wskakunin_koutei_ikou02_KOUTEI_TEXT_inter1</t>
  </si>
  <si>
    <t>cst_wskakunin_koutei_ikou02_KOUTEI_DATE_inter1</t>
  </si>
  <si>
    <t>※ 中間2枚目 - 確認時：特定工程4があれば出力</t>
  </si>
  <si>
    <t>cst_wskakunin_koutei_ikou02_KOUTEI_KAISUU_inter2</t>
  </si>
  <si>
    <t>cst_wskakunin_koutei_ikou02_KOUTEI_TEXT_inter2</t>
  </si>
  <si>
    <t>cst_wskakunin_koutei_ikou02_KOUTEI_DATE_inter2</t>
  </si>
  <si>
    <t>【11.確認以降の軽微な変更の概要】</t>
  </si>
  <si>
    <t>wskakunin_keibi_henkou01_</t>
  </si>
  <si>
    <t>【ｲ.変更された設計図書の種類】</t>
  </si>
  <si>
    <t>**wskakunin_keibi_henkou01_HENKOU_SYURUI</t>
  </si>
  <si>
    <t>cst_wskakunin_keibi_henkou01_HENKOU_SYURUI</t>
  </si>
  <si>
    <t>【ﾛ.変更の概要】</t>
  </si>
  <si>
    <t>**wskakunin_keibi_henkou01_HENKOU_GAIYOU</t>
  </si>
  <si>
    <t>cst_wskakunin_keibi_henkou01_HENKOU_GAIYOU</t>
  </si>
  <si>
    <t>完了検査申請</t>
  </si>
  <si>
    <t>【7.工事完了年月日】</t>
  </si>
  <si>
    <t>**wskakunin_KOUJI_KANRYOU_DATE</t>
  </si>
  <si>
    <t>cst_wskakunin_KOUJI_KANRYOU_DATE_select</t>
  </si>
  <si>
    <t>【9.検査経過】</t>
  </si>
  <si>
    <t>左側：</t>
  </si>
  <si>
    <t>※ 確認(10)、完了(40)で用いる</t>
  </si>
  <si>
    <t xml:space="preserve">【ﾛ.中間検査合格証交付者】 </t>
  </si>
  <si>
    <t>**wskakunin_koutei01_INTER_ISSUE_NAME</t>
  </si>
  <si>
    <t>cst_wskakunin_koutei01_INTER_ISSUE_NAME</t>
  </si>
  <si>
    <t>**wskakunin_koutei01_INTER_ISSUE_NO</t>
  </si>
  <si>
    <t>cst_wskakunin_koutei01_INTER_ISSUE_NO</t>
  </si>
  <si>
    <t>**wskakunin_koutei01_INTER_ISSUE_DATE</t>
  </si>
  <si>
    <t>cst_wskakunin_koutei01_INTER_ISSUE_DATE</t>
  </si>
  <si>
    <t>出力用</t>
  </si>
  <si>
    <t>cst_wskakunin_koutei_keika01_KOUTEI_KAISUU_select</t>
  </si>
  <si>
    <t>cst_wskakunin_koutei_keika01_KOUTEI_TEXT_select</t>
  </si>
  <si>
    <t>cst_wskakunin_koutei_keika01_INTER_ISSUE_NAME_select</t>
  </si>
  <si>
    <t>cst_wskakunin_koutei_keika01_INTER_ISSUE_NO_select</t>
  </si>
  <si>
    <t>cst_wskakunin_koutei_keika01_INTER_ISSUE_DATE_select</t>
  </si>
  <si>
    <t>右側：</t>
  </si>
  <si>
    <t>**wskakunin_koutei02_INTER_ISSUE_NAME</t>
  </si>
  <si>
    <t>cst_wskakunin_koutei02_INTER_ISSUE_NAME</t>
  </si>
  <si>
    <t>**wskakunin_koutei02_INTER_ISSUE_NO</t>
  </si>
  <si>
    <t>cst_wskakunin_koutei02_INTER_ISSUE_NO</t>
  </si>
  <si>
    <t>**wskakunin_koutei02_INTER_ISSUE_DATE</t>
  </si>
  <si>
    <t>cst_wskakunin_koutei02_INTER_ISSUE_DATE</t>
  </si>
  <si>
    <t>cst_wskakunin_koutei_keika02_KOUTEI_KAISUU_select</t>
  </si>
  <si>
    <t>cst_wskakunin_koutei_keika02_KOUTEI_TEXT_select</t>
  </si>
  <si>
    <t>cst_wskakunin_koutei_keika02_INTER_ISSUE_NAME_select</t>
  </si>
  <si>
    <t>cst_wskakunin_koutei_keika02_INTER_ISSUE_NO_select</t>
  </si>
  <si>
    <t>cst_wskakunin_koutei_keika02_INTER_ISSUE_DATE_select</t>
  </si>
  <si>
    <t>基準法より</t>
  </si>
  <si>
    <t>**shinsei_build_YOUTO</t>
  </si>
  <si>
    <t>一戸建ての住宅</t>
  </si>
  <si>
    <t>cst_shinsei_build_YOUTO</t>
  </si>
  <si>
    <t>cls_JOB_SET_KIND_erea</t>
  </si>
  <si>
    <t>cls_JOB_SET_KIND_base_point</t>
  </si>
  <si>
    <t>不明な申請</t>
  </si>
  <si>
    <t>基準法</t>
  </si>
  <si>
    <t>適合証明</t>
  </si>
  <si>
    <t>性能評価</t>
  </si>
  <si>
    <t>*</t>
  </si>
  <si>
    <t>cls_TARGET_KIND_erea</t>
  </si>
  <si>
    <t>cls_TARGET_KIND_base_point</t>
  </si>
  <si>
    <t>建築設備</t>
  </si>
  <si>
    <t>工作物(88-1)</t>
  </si>
  <si>
    <t>工作物(88-2)</t>
  </si>
  <si>
    <t>cls_JOB_KIND_erea</t>
  </si>
  <si>
    <t>cls_JOB_KIND_base_point</t>
  </si>
  <si>
    <t>確認申請</t>
  </si>
  <si>
    <t>計画変更</t>
  </si>
  <si>
    <t>中間検査</t>
  </si>
  <si>
    <t>完了検査</t>
  </si>
  <si>
    <t>その他申請</t>
  </si>
  <si>
    <t>申請書</t>
  </si>
  <si>
    <t>建ぺい率</t>
  </si>
  <si>
    <t>工事届</t>
  </si>
  <si>
    <t>二級</t>
  </si>
  <si>
    <t>木造</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</si>
  <si>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</si>
  <si>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</si>
  <si>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</si>
  <si>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</si>
  <si>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</si>
  <si>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</si>
  <si>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</si>
  <si>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</si>
  <si>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</si>
  <si>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</si>
  <si>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</si>
  <si>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</si>
  <si>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建物構造</t>
  </si>
  <si>
    <t>用途区分（建築物）</t>
  </si>
  <si>
    <t>名称（建築物）</t>
  </si>
  <si>
    <t>用途区分（工作物1）</t>
  </si>
  <si>
    <t>名称（工作物1）</t>
  </si>
  <si>
    <t>用途区分（工作物2）</t>
  </si>
  <si>
    <t>名称（工作物2）</t>
  </si>
  <si>
    <t>耐火建築物</t>
  </si>
  <si>
    <t>便所の種類</t>
  </si>
  <si>
    <t>埼玉県知事</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</si>
  <si>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</si>
  <si>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</si>
  <si>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</si>
  <si>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</si>
  <si>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</si>
  <si>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</si>
  <si>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</si>
  <si>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居住専用住宅（附属建築物を除く。）</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</si>
  <si>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</si>
  <si>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</si>
  <si>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</si>
  <si>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</si>
  <si>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</si>
  <si>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</si>
  <si>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</si>
  <si>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</si>
  <si>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</si>
  <si>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</si>
  <si>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</si>
  <si>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居住専用住宅附属建築物（物置，車庫等）</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</si>
  <si>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</si>
  <si>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</si>
  <si>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</si>
  <si>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</si>
  <si>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</si>
  <si>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</si>
  <si>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</si>
  <si>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</si>
  <si>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</si>
  <si>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</si>
  <si>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</si>
  <si>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寮，寄宿舎，合宿所（附属建築物を除く。）</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</si>
  <si>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</si>
  <si>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</si>
  <si>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</si>
  <si>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</si>
  <si>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</si>
  <si>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</si>
  <si>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</si>
  <si>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</si>
  <si>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</si>
  <si>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</si>
  <si>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寮，寄宿舎，合宿所附属建築物（物置，車庫等）</t>
  </si>
  <si>
    <t>茨城県知事</t>
  </si>
  <si>
    <t>鉄筋コンクリート造</t>
  </si>
  <si>
    <t>08050</t>
  </si>
  <si>
    <t>下宿</t>
  </si>
  <si>
    <t>06350</t>
  </si>
  <si>
    <t>擁壁</t>
  </si>
  <si>
    <t>06450</t>
  </si>
  <si>
    <t>汚物処理場、ごみ焼却場その他の処理施設の用途に供するもの</t>
  </si>
  <si>
    <t>準耐火建築物（ロ-2）</t>
  </si>
  <si>
    <t>05</t>
  </si>
  <si>
    <t>他に分類されない居住専用建築物</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</si>
  <si>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</si>
  <si>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</si>
  <si>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</si>
  <si>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</si>
  <si>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</si>
  <si>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</si>
  <si>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</si>
  <si>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農業，林業，漁業，水産養殖業</t>
  </si>
  <si>
    <t>群馬県知事</t>
  </si>
  <si>
    <t>08070</t>
  </si>
  <si>
    <t>幼稚園</t>
  </si>
  <si>
    <t xml:space="preserve">06370 </t>
  </si>
  <si>
    <t>メリーゴーランド、観覧車、オクトパス、飛行塔その他これらに類する回転運動をする遊戯施設で原動機を使用するもの</t>
  </si>
  <si>
    <t>鉱業，採石業，砂利採取業</t>
  </si>
  <si>
    <t>北海道知事</t>
  </si>
  <si>
    <t>08080</t>
  </si>
  <si>
    <t>小学校</t>
  </si>
  <si>
    <t>建設業</t>
  </si>
  <si>
    <t>青森県知事</t>
  </si>
  <si>
    <t>08090</t>
  </si>
  <si>
    <t>中学校又は高等学校</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</si>
  <si>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</si>
  <si>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岩手県知事</t>
  </si>
  <si>
    <t>08100</t>
  </si>
  <si>
    <t>養護学校、盲学校又は聾学校</t>
  </si>
  <si>
    <t>化学工業，石油製品・石炭製品製造業</t>
  </si>
  <si>
    <t>宮城県知事</t>
  </si>
  <si>
    <t>08110</t>
  </si>
  <si>
    <t>大学又は高等専門学校</t>
  </si>
  <si>
    <t>鉄鋼業，非鉄金属製造業，金属製品製造業</t>
  </si>
  <si>
    <t>秋田県知事</t>
  </si>
  <si>
    <t>08120</t>
  </si>
  <si>
    <t>専修学校</t>
  </si>
  <si>
    <t>はん用機械器具製造業，生産用機械器具製造業，業務用機械器具製造業，電子部品・デバイス・電子回路製造業，電気機械器具製造業，情報通信機械器具製造業，輸送用機械器具製造業</t>
  </si>
  <si>
    <t>山形県知事</t>
  </si>
  <si>
    <t>08130</t>
  </si>
  <si>
    <t>各種学校</t>
  </si>
  <si>
    <t>ゴム製品製造業，なめし革・同製品・毛皮製造業，その他の製造業</t>
  </si>
  <si>
    <t>福島県知事</t>
  </si>
  <si>
    <t>08140</t>
  </si>
  <si>
    <t>図書館その他これらに類するもの</t>
  </si>
  <si>
    <t>電気業</t>
  </si>
  <si>
    <t>新潟県知事</t>
  </si>
  <si>
    <t>08150</t>
  </si>
  <si>
    <t>博物館その他これらに類するもの</t>
  </si>
  <si>
    <t>ガス業</t>
  </si>
  <si>
    <t>富山県知事</t>
  </si>
  <si>
    <t>08160</t>
  </si>
  <si>
    <t>神社、寺院、教会その他これらに類するもの</t>
  </si>
  <si>
    <t>熱供給業</t>
  </si>
  <si>
    <t>石川県知事</t>
  </si>
  <si>
    <t>08170</t>
  </si>
  <si>
    <t>老人ホーム、身体障害者福祉ホームその他これに類するもの</t>
  </si>
  <si>
    <t>水道業</t>
  </si>
  <si>
    <t>福井県知事</t>
  </si>
  <si>
    <t>08180</t>
  </si>
  <si>
    <t>保育所その他これに類するもの</t>
  </si>
  <si>
    <t>通信業</t>
  </si>
  <si>
    <t>山梨県知事</t>
  </si>
  <si>
    <t>08190</t>
  </si>
  <si>
    <t>助産所</t>
  </si>
  <si>
    <t>放送業，情報サービス業，インターネット附随サービス業</t>
  </si>
  <si>
    <t>長野県知事</t>
  </si>
  <si>
    <t>08210</t>
  </si>
  <si>
    <t>児童福祉施設等（前３項に掲げるものを除く。）</t>
  </si>
  <si>
    <t>映像・音声・文字情報製作業（新聞業及び出版業を除く。）</t>
  </si>
  <si>
    <t>岐阜県知事</t>
  </si>
  <si>
    <t>08220</t>
  </si>
  <si>
    <t>隣保館</t>
  </si>
  <si>
    <t>映像・音声・文字情報制作業（新聞業及び出版業に限る。）</t>
  </si>
  <si>
    <t>静岡県知事</t>
  </si>
  <si>
    <t>08230</t>
  </si>
  <si>
    <t>公衆浴場（個室付浴場業に係る公衆浴場を除く。）</t>
  </si>
  <si>
    <t>鉄道業，道路旅客運送業，道路貨物運送業，水運業，航空，運輸業，倉庫業，運輸に附帯するサービス業</t>
  </si>
  <si>
    <t>愛知県知事</t>
  </si>
  <si>
    <t>08240</t>
  </si>
  <si>
    <t>診療所（患者の収容施設のあるものに限る。）</t>
  </si>
  <si>
    <t>卸売業，小売業</t>
  </si>
  <si>
    <t>三重県知事</t>
  </si>
  <si>
    <t>08250</t>
  </si>
  <si>
    <t>診療所（患者の収容施設のないものに限る。）</t>
  </si>
  <si>
    <t>金融業，保険業</t>
  </si>
  <si>
    <t>滋賀県知事</t>
  </si>
  <si>
    <t>08260</t>
  </si>
  <si>
    <t>病院</t>
  </si>
  <si>
    <t>不動産取引業，不動産賃貸業・管理業（駐車場業を除く。）</t>
  </si>
  <si>
    <t>08270</t>
  </si>
  <si>
    <t>巡査派出所</t>
  </si>
  <si>
    <t>不動産賃貸業・管理業（駐車場業に限る。）</t>
  </si>
  <si>
    <t>大阪府知事</t>
  </si>
  <si>
    <t>08280</t>
  </si>
  <si>
    <t>公衆電話所</t>
  </si>
  <si>
    <t>宿泊業</t>
  </si>
  <si>
    <t>兵庫県知事</t>
  </si>
  <si>
    <t>08290</t>
  </si>
  <si>
    <t>郵便局</t>
  </si>
  <si>
    <t>飲食店，持ち帰り・配達飲食サービス業</t>
  </si>
  <si>
    <t>奈良県知事</t>
  </si>
  <si>
    <t>08300</t>
  </si>
  <si>
    <t>地方公共団体の支庁又は支所</t>
  </si>
  <si>
    <t>学校教育</t>
  </si>
  <si>
    <t>和歌山県知事</t>
  </si>
  <si>
    <t>08310</t>
  </si>
  <si>
    <t>公衆便所、休憩所又は路線バスの停留所の上屋</t>
  </si>
  <si>
    <t>その他の教育及び学習支援業（社会教育に限る。）</t>
  </si>
  <si>
    <t>鳥取県知事</t>
  </si>
  <si>
    <t>08320</t>
  </si>
  <si>
    <t>建築基準法施行令第130条の4第5号に基づき国土交通大臣が指定する施設</t>
  </si>
  <si>
    <t>その他の教育及び学習支援業（学習塾及び教養・技能教授業に限る。）</t>
  </si>
  <si>
    <t>島根県知事</t>
  </si>
  <si>
    <t>08330</t>
  </si>
  <si>
    <t>税務署、警察署、保健所又は消防署その他これらに類するもの</t>
  </si>
  <si>
    <t>その他の教育及び学習支援業（記号35及び記号36に該当するものを除く。）</t>
  </si>
  <si>
    <t>岡山県知事</t>
  </si>
  <si>
    <t>08340</t>
  </si>
  <si>
    <t>工場（自動車修理工場を除く。）</t>
  </si>
  <si>
    <t>医療業，保健衛生</t>
  </si>
  <si>
    <t>広島県知事</t>
  </si>
  <si>
    <t>08350</t>
  </si>
  <si>
    <t>自動車修理工場</t>
  </si>
  <si>
    <t>社会保険・社会福祉・介護事業</t>
  </si>
  <si>
    <t>山口県知事</t>
  </si>
  <si>
    <t>08360</t>
  </si>
  <si>
    <t>危険物の貯蔵又は処理に供するもの</t>
  </si>
  <si>
    <t>郵便業（信書便事業を含む。），郵便局</t>
  </si>
  <si>
    <t>徳島県知事</t>
  </si>
  <si>
    <t>08370</t>
  </si>
  <si>
    <t>ボーリング場、スケート場、水泳場、スキー場、ゴルフ練習場又はバッティング練習場</t>
  </si>
  <si>
    <t>学術・開発研究機関，政治・経済・文化団体</t>
  </si>
  <si>
    <t>香川県知事</t>
  </si>
  <si>
    <t>08380</t>
  </si>
  <si>
    <t>体育館又はスポーツの練習場（前項に掲げるものを除く。）</t>
  </si>
  <si>
    <t>その他の生活関連サービス業（旅行業に限る。）</t>
  </si>
  <si>
    <t>愛媛県知事</t>
  </si>
  <si>
    <t>08390</t>
  </si>
  <si>
    <t>マージャン屋、ぱちんこ屋、射的場、勝馬投票券発売所、場外車券売り場その他これらに類するもの又はカラオケボックスその他これらに類するもの</t>
  </si>
  <si>
    <t>娯楽業</t>
  </si>
  <si>
    <t>高知県知事</t>
  </si>
  <si>
    <t>08400</t>
  </si>
  <si>
    <t>ホテル又は旅館</t>
  </si>
  <si>
    <t>宗教</t>
  </si>
  <si>
    <t>福岡県知事</t>
  </si>
  <si>
    <t>08410</t>
  </si>
  <si>
    <t>自動車教習所</t>
  </si>
  <si>
    <t>物品賃貸業，専門サービス業，広告業，技術サービス業，洗濯・理容・美容・浴場業，その他の生活関連サービス業（旅行業を除く。），協同組合，サービス業（他に分類されないもの）（記号41及び記号44に該当するものを除く。）</t>
  </si>
  <si>
    <t>佐賀県知事</t>
  </si>
  <si>
    <t>08420</t>
  </si>
  <si>
    <t>畜舎</t>
  </si>
  <si>
    <t>国家公務，地方公務</t>
  </si>
  <si>
    <t>長崎県知事</t>
  </si>
  <si>
    <t>08430</t>
  </si>
  <si>
    <t>堆肥舎又は水産物の増殖場若しくは養殖場</t>
  </si>
  <si>
    <t>他に分類されないもの</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</si>
  <si>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</si>
  <si>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</si>
  <si>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</si>
  <si>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</si>
  <si>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</si>
  <si>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</si>
  <si>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</si>
  <si>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</si>
  <si>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</si>
  <si>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</si>
  <si>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</si>
  <si>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</si>
  <si>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</si>
  <si>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</si>
  <si>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</si>
  <si>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</si>
  <si>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</si>
  <si>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</si>
  <si>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</si>
  <si>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</si>
  <si>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</si>
  <si>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</si>
  <si>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</si>
  <si>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</si>
  <si>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</si>
  <si>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</si>
  <si>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</si>
  <si>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</si>
  <si>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</si>
  <si>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</si>
  <si>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</si>
  <si>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</si>
  <si>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</si>
  <si>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</si>
  <si>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</si>
  <si>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</si>
  <si>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</si>
  <si>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</si>
  <si>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</si>
  <si>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</si>
  <si>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</si>
  <si>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</si>
  <si>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</si>
  <si>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</si>
  <si>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</si>
  <si>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</si>
  <si>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</si>
  <si>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</si>
  <si>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</si>
  <si>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</si>
  <si>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</si>
  <si>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</si>
  <si>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</si>
  <si>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トップ</t>
  </si>
  <si>
    <t>中学校、高等学校又は中等教育学校</t>
  </si>
  <si>
    <t>図書館その他これに類するもの</t>
  </si>
  <si>
    <t>博物館その他これに類するもの</t>
  </si>
  <si>
    <t>老人ホーム、身体障害者福祉ホームその他これらに類するもの</t>
  </si>
  <si>
    <t>児童福祉施設等</t>
  </si>
  <si>
    <t>郵便法の規定により行う郵便の業務の用に供する施設</t>
  </si>
  <si>
    <t>公衆便所、休憩所又は路線バスの停留所の上家</t>
  </si>
  <si>
    <t>建築基準法施行令第130条の4第5号に基づき建設大臣が指定する施設</t>
  </si>
  <si>
    <t>体育館又はスポーツの練習場</t>
  </si>
  <si>
    <t>マージャン屋、ぱちんこ屋、射的場、勝馬投票券発売所、場外車券売場その他これらに類するもの又はカラオケボックスその他これらに類するもの</t>
  </si>
  <si>
    <t>百貨店、マーケットその他の物品販売業を営む店舗</t>
  </si>
  <si>
    <t>飲食店</t>
  </si>
  <si>
    <t>理髪店、美容院、クリーニング取次店、質屋、貸衣装屋、貸本屋その他これらに類するサービス業を営む店舗、洋服店、畳屋、建具屋、自転車店等</t>
  </si>
  <si>
    <t>銀行の支店、損害保険代理店、宅地建物取引業を営む店舗そのたこれらに類するサービス業を営む店舗</t>
  </si>
  <si>
    <t>物品販売業を営む店舗以外の店舗</t>
  </si>
  <si>
    <t>自転車駐車場</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</si>
  <si>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</si>
  <si>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t>
  </si>
  <si>
    <t xml:space="preserve">    )</t>
  </si>
  <si>
    <t>第1種低層住居専用</t>
  </si>
  <si>
    <t>確</t>
  </si>
  <si>
    <t>建</t>
  </si>
  <si>
    <t>神奈川県</t>
  </si>
  <si>
    <t>設計図書一式</t>
  </si>
  <si>
    <t>般-</t>
  </si>
  <si>
    <t>■</t>
  </si>
  <si>
    <t>道路境界1ｍ）</t>
  </si>
  <si>
    <t>第2種低層住居専用</t>
  </si>
  <si>
    <t>開発許可：</t>
  </si>
  <si>
    <t>基礎配筋完了時</t>
  </si>
  <si>
    <t>（平成</t>
  </si>
  <si>
    <t>●</t>
  </si>
  <si>
    <t>変</t>
  </si>
  <si>
    <t>昇</t>
  </si>
  <si>
    <t>号</t>
  </si>
  <si>
    <t>１級</t>
  </si>
  <si>
    <t>東京都</t>
  </si>
  <si>
    <t>設計図書一式（構造設計図書を除く）</t>
  </si>
  <si>
    <t>特-</t>
  </si>
  <si>
    <t>敷地境界1ｍ）</t>
  </si>
  <si>
    <t>第1種中高層住居専用</t>
  </si>
  <si>
    <t>開発変更許可：</t>
  </si>
  <si>
    <t>全軸組緊結完了時</t>
  </si>
  <si>
    <t>（昭和</t>
  </si>
  <si>
    <t>工</t>
  </si>
  <si>
    <t>２級</t>
  </si>
  <si>
    <t>設計図書一式（構造計算書を除く）</t>
  </si>
  <si>
    <t>道路側を除く敷地境界 1ｍ）</t>
  </si>
  <si>
    <t>第2種中高層住居専用</t>
  </si>
  <si>
    <t>開発検査済：　</t>
  </si>
  <si>
    <t>小屋組完了時</t>
  </si>
  <si>
    <t>構造設計図書一式</t>
  </si>
  <si>
    <t>第1種住居</t>
  </si>
  <si>
    <t>開発完了公告：</t>
  </si>
  <si>
    <t>屋根工事</t>
  </si>
  <si>
    <t>構造計算書一式</t>
  </si>
  <si>
    <t>第2種住居</t>
  </si>
  <si>
    <t>宅地造成に関する工事許可：</t>
  </si>
  <si>
    <t>１階を含む鉄骨建方工事</t>
  </si>
  <si>
    <t>準住居</t>
  </si>
  <si>
    <t>変更許可：</t>
  </si>
  <si>
    <t>２階の床及びこれを支持するはりに鉄筋を配置する工事の工程</t>
  </si>
  <si>
    <t>近隣商業</t>
  </si>
  <si>
    <t>宅造検査済：　</t>
  </si>
  <si>
    <t>屋根の小屋組工事及び構造耐力上主要な軸組の工事</t>
  </si>
  <si>
    <t>商業</t>
  </si>
  <si>
    <t>位置指定道路：</t>
  </si>
  <si>
    <t>屋根の小屋組工事及び構造耐力上主要な耐力壁の工事</t>
  </si>
  <si>
    <t>準工業</t>
  </si>
  <si>
    <t>公告：</t>
  </si>
  <si>
    <t>屋根版の配筋工事</t>
  </si>
  <si>
    <t>工業</t>
  </si>
  <si>
    <t>急傾斜地崩壊危険区域の許可：</t>
  </si>
  <si>
    <t>基礎の配筋工事</t>
  </si>
  <si>
    <t>工業専用</t>
  </si>
  <si>
    <t>法第43条ただし書き許可：</t>
  </si>
  <si>
    <t>鉄骨部の部分において初めて工事を施工する階の建方工事</t>
  </si>
  <si>
    <t>法第53条の2第1項第3号の許可</t>
  </si>
  <si>
    <t>狭あい道路協議済：</t>
  </si>
  <si>
    <t>地区計画：</t>
  </si>
  <si>
    <t>風致地区：</t>
  </si>
  <si>
    <t>都市計画法第43条許可：</t>
  </si>
  <si>
    <t>都市計画法第53条許可：</t>
  </si>
  <si>
    <t>災害危険区域：</t>
  </si>
  <si>
    <t>川崎市条例第6条第2項ただし書き許可：</t>
  </si>
  <si>
    <t>各申請書のセルの色について</t>
  </si>
  <si>
    <t xml:space="preserve"> →黄色のセルは直接入力してください。</t>
  </si>
  <si>
    <t>　</t>
  </si>
  <si>
    <t xml:space="preserve"> →緑色のセルは選択肢から選んでください。</t>
  </si>
  <si>
    <t xml:space="preserve"> →水色のセルはNICEシステムで入力した内容が初期表示されています。</t>
  </si>
  <si>
    <t>第四十号様式（第八条関係）（Ａ４）</t>
  </si>
  <si>
    <t>建築基準法第15条第1項の規定による</t>
  </si>
  <si>
    <t>建 築 工 事 届</t>
  </si>
  <si>
    <t>（第一面）</t>
  </si>
  <si>
    <t>年</t>
  </si>
  <si>
    <t>月</t>
  </si>
  <si>
    <t>日</t>
  </si>
  <si>
    <t>知事　様</t>
  </si>
  <si>
    <t>工事施工者（設計者又は代理者）</t>
  </si>
  <si>
    <t>営業所名（建築士事務所名）</t>
  </si>
  <si>
    <t>工事監理者</t>
  </si>
  <si>
    <t>建築確認</t>
  </si>
  <si>
    <t xml:space="preserve"> </t>
  </si>
  <si>
    <t>第</t>
  </si>
  <si>
    <t>確認済証交付年月日</t>
  </si>
  <si>
    <t>除却工事施工者</t>
  </si>
  <si>
    <t>※受付経由機関記載欄</t>
  </si>
  <si>
    <t>（第二面）</t>
  </si>
  <si>
    <t>【1.着工及び工事完了の予定期日】</t>
  </si>
  <si>
    <t>【イ.着工予定期日】</t>
  </si>
  <si>
    <t>【ロ.工事完了予定期日】</t>
  </si>
  <si>
    <t>【2.建築主】</t>
  </si>
  <si>
    <t>【イ.建築主の種別】</t>
  </si>
  <si>
    <t>(1) 国</t>
  </si>
  <si>
    <t>(2) 都道府県</t>
  </si>
  <si>
    <t>(3) 市区町村</t>
  </si>
  <si>
    <t>(4) 会社</t>
  </si>
  <si>
    <t>(5) 会社でない団体</t>
  </si>
  <si>
    <t>(6) 個人</t>
  </si>
  <si>
    <t>【ロ.資本の額又は出資の総額】</t>
  </si>
  <si>
    <t>(1)1,000万円以下</t>
  </si>
  <si>
    <t>(2)1,000万円超～3,000万円以下</t>
  </si>
  <si>
    <t>(3)3,000万円超～1億円以下</t>
  </si>
  <si>
    <t>(4)1億円超～10億円以下</t>
  </si>
  <si>
    <t>(5)10億円超</t>
  </si>
  <si>
    <t>【3.敷地の位置】</t>
  </si>
  <si>
    <t>【イ.地名地番】</t>
  </si>
  <si>
    <t>【ロ.都市計画】</t>
  </si>
  <si>
    <t>(1) 市街化区域</t>
  </si>
  <si>
    <t>(2) 市街化調整区域</t>
  </si>
  <si>
    <t>(3) 区域区分非設定都市計画区域</t>
  </si>
  <si>
    <t>(4) 準都市計画区域</t>
  </si>
  <si>
    <t>(5) 都市計画区域及び準都市計画区域外</t>
  </si>
  <si>
    <t>【4.工事種別】</t>
  </si>
  <si>
    <t>(1) 新築</t>
  </si>
  <si>
    <t>(2) 増築</t>
  </si>
  <si>
    <t>(3) 改築</t>
  </si>
  <si>
    <t>(4) 移転</t>
  </si>
  <si>
    <t>【5.主要用途】</t>
  </si>
  <si>
    <t>(1) 居住専用建築物</t>
  </si>
  <si>
    <t>（</t>
  </si>
  <si>
    <t>）</t>
  </si>
  <si>
    <t>(2) 居住産業併用建築物</t>
  </si>
  <si>
    <t>(3) 産業専用建築物</t>
  </si>
  <si>
    <t>【6.一の建築物ごとの内容】</t>
  </si>
  <si>
    <t>【イ.番号】</t>
  </si>
  <si>
    <t>)</t>
  </si>
  <si>
    <t>【ロ.用途】</t>
  </si>
  <si>
    <t>(1)</t>
  </si>
  <si>
    <t>(2)</t>
  </si>
  <si>
    <t>物品販売業を営</t>
  </si>
  <si>
    <t>む店舗等</t>
  </si>
  <si>
    <t>(3)</t>
  </si>
  <si>
    <t>(4)</t>
  </si>
  <si>
    <t>(5)</t>
  </si>
  <si>
    <t>(6)</t>
  </si>
  <si>
    <t>(9)</t>
  </si>
  <si>
    <t>多用途</t>
  </si>
  <si>
    <t>【ハ.工事部分の構造】</t>
  </si>
  <si>
    <t>鉄骨鉄筋コンク</t>
  </si>
  <si>
    <t>リート造</t>
  </si>
  <si>
    <t>鉄筋コンクリー</t>
  </si>
  <si>
    <t>ト造</t>
  </si>
  <si>
    <t>コンクリートブ</t>
  </si>
  <si>
    <t>ロック造</t>
  </si>
  <si>
    <t>【ニ．工事の予定期間】</t>
  </si>
  <si>
    <t>月間)</t>
  </si>
  <si>
    <t>【ホ.工事部分の</t>
  </si>
  <si>
    <t>　床面積の合計】</t>
  </si>
  <si>
    <t>【ヘ.建築工事費予定額】</t>
  </si>
  <si>
    <t>万円)</t>
  </si>
  <si>
    <t>【ト.新築工事の場合における地上の階数】</t>
  </si>
  <si>
    <t>【チ.新築工事の場合における地下の階数】</t>
  </si>
  <si>
    <t>【７．新築工事の場合における敷地面積】</t>
  </si>
  <si>
    <t>㎡</t>
  </si>
  <si>
    <t>（第三面）</t>
  </si>
  <si>
    <t>【1.住宅部分の概要】</t>
  </si>
  <si>
    <t>【ロ.新設又はその他の別】</t>
  </si>
  <si>
    <t>(1)新設</t>
  </si>
  <si>
    <t>(2)その他</t>
  </si>
  <si>
    <t>【ハ.新設住宅の資金】</t>
  </si>
  <si>
    <t>(1)民間資金住宅</t>
  </si>
  <si>
    <t>(2)公営住宅</t>
  </si>
  <si>
    <t>(3)住宅金融支援機構住宅</t>
  </si>
  <si>
    <t>(4)都市再生機構住宅</t>
  </si>
  <si>
    <t>(5)その他</t>
  </si>
  <si>
    <t>【ニ.住宅の建築工法】</t>
  </si>
  <si>
    <t>(1) 在来工法</t>
  </si>
  <si>
    <t>(2) プレハブ工法</t>
  </si>
  <si>
    <t>(3) 枠組壁工法</t>
  </si>
  <si>
    <t>【ホ.住宅の種類】</t>
  </si>
  <si>
    <t>(1) 専用住宅</t>
  </si>
  <si>
    <t>(2) 併用住宅</t>
  </si>
  <si>
    <t>(3) その他の住宅</t>
  </si>
  <si>
    <t>【ヘ.住宅の建て方】</t>
  </si>
  <si>
    <t>(1)一戸建住宅</t>
  </si>
  <si>
    <t>(2)長屋建住宅</t>
  </si>
  <si>
    <t>(3)共同住宅</t>
  </si>
  <si>
    <t>【ト.利用関係】</t>
  </si>
  <si>
    <t>(1)持家</t>
  </si>
  <si>
    <t>(2)貸家</t>
  </si>
  <si>
    <t>(3)給与住宅</t>
  </si>
  <si>
    <t>(4)分譲住宅</t>
  </si>
  <si>
    <t>【チ.住宅の戸数】</t>
  </si>
  <si>
    <t xml:space="preserve">)( </t>
  </si>
  <si>
    <t>【リ.工事部分の</t>
  </si>
  <si>
    <t xml:space="preserve"> 床面積の合計】</t>
  </si>
  <si>
    <t>（第四面）</t>
  </si>
  <si>
    <t>【1.主要用途】</t>
  </si>
  <si>
    <t>【2.除却原因】</t>
  </si>
  <si>
    <t>(1) 老朽して危険があるため</t>
  </si>
  <si>
    <t>(2) その他</t>
  </si>
  <si>
    <t>【3.構造】</t>
  </si>
  <si>
    <t>(1) 木造</t>
  </si>
  <si>
    <t>【4.建築物の数】</t>
  </si>
  <si>
    <t>【5.住宅の戸数】</t>
  </si>
  <si>
    <t>戸</t>
  </si>
  <si>
    <t>【6.住宅の利用関係】</t>
  </si>
  <si>
    <t>(1) 持家</t>
  </si>
  <si>
    <t>(2) 貸家</t>
  </si>
  <si>
    <t>(3) 給与住宅</t>
  </si>
  <si>
    <t>【7.建築物の床面積の合計】</t>
  </si>
  <si>
    <t>【8.建築物の評価額】</t>
  </si>
  <si>
    <t>千円</t>
  </si>
  <si>
    <t>建築計画概要書（第三面）</t>
  </si>
  <si>
    <t>付近見取り図</t>
  </si>
  <si>
    <t>配置図</t>
  </si>
  <si>
    <t>【代理者】</t>
  </si>
  <si>
    <t>【氏名】</t>
  </si>
  <si>
    <t>一級建築士</t>
  </si>
  <si>
    <t>二級建築士</t>
  </si>
  <si>
    <t>木造建築士</t>
  </si>
  <si>
    <t>【事務所名】</t>
  </si>
  <si>
    <t>【所在地】</t>
  </si>
  <si>
    <t>【電話番号】</t>
  </si>
  <si>
    <t>　私は､上記の者を代理人と定め､以下の建築物についての､建築に関する法令の規定によ</t>
  </si>
  <si>
    <t>る申請手続き等を委任します。</t>
  </si>
  <si>
    <t>委任事項</t>
  </si>
  <si>
    <t>確認申請手続</t>
  </si>
  <si>
    <t>確認済証受取</t>
  </si>
  <si>
    <t>建築工事届提出</t>
  </si>
  <si>
    <t>中間検査申請手続</t>
  </si>
  <si>
    <t>中間検査合格証受取</t>
  </si>
  <si>
    <t>完了検査申請手続</t>
  </si>
  <si>
    <t>検査済証受取</t>
  </si>
  <si>
    <t>住宅金融支援機構設計審査手続</t>
  </si>
  <si>
    <t>住宅金融支援機構現場検査手続</t>
  </si>
  <si>
    <t>構造計算適合性判定申請手続</t>
  </si>
  <si>
    <t>適合判定通知書受取</t>
  </si>
  <si>
    <t>現場検査立会</t>
  </si>
  <si>
    <t>取止・取下届提出</t>
  </si>
  <si>
    <t>【委任者】</t>
  </si>
  <si>
    <t>【住所】</t>
  </si>
  <si>
    <t>追加説明書（確認申請）</t>
  </si>
  <si>
    <t>第R</t>
  </si>
  <si>
    <t>確不整合IPEC</t>
  </si>
  <si>
    <t>株式会社　I-PEC　様</t>
  </si>
  <si>
    <t>建築基準法第18条の3及び確認審査等に関する指針（平成19年第835号）第1第5項第三号ロ</t>
  </si>
  <si>
    <t>による追加説明書を下記のとおり提出します。</t>
  </si>
  <si>
    <t>確認申請
年月日</t>
  </si>
  <si>
    <t>設計者</t>
  </si>
  <si>
    <t>確認申請
受付番号</t>
  </si>
  <si>
    <t>確申建築IPEC</t>
  </si>
  <si>
    <t>通知日</t>
  </si>
  <si>
    <t>工事施工者</t>
  </si>
  <si>
    <t>追加説明書を作成した者の氏名</t>
  </si>
  <si>
    <t>建築場所</t>
  </si>
  <si>
    <t>指摘事項</t>
  </si>
  <si>
    <t>報告内容</t>
  </si>
  <si>
    <t>※別添がある場合は、その旨を本書に記載する。</t>
  </si>
  <si>
    <t>追加説明書（中間検査）</t>
  </si>
  <si>
    <t>中間検査
申請年月日</t>
  </si>
  <si>
    <t>中間検査申請受付番号</t>
  </si>
  <si>
    <t>確中建築IPEC</t>
  </si>
  <si>
    <t>様式－ＩＰＥＣ－大－０４</t>
  </si>
  <si>
    <t>（大阪府全域）</t>
  </si>
  <si>
    <t>　　　　　　　　　　　　　工事監理者　　　　　届出書</t>
  </si>
  <si>
    <t>　選任</t>
  </si>
  <si>
    <t>　変更</t>
  </si>
  <si>
    <t>届出書</t>
  </si>
  <si>
    <r>
      <t>特庁以外の大阪府</t>
    </r>
    <r>
      <rPr>
        <sz val="10.5"/>
        <rFont val="ＭＳ Ｐ明朝"/>
        <family val="1"/>
        <charset val="128"/>
      </rPr>
      <t>　　　</t>
    </r>
    <rPh sb="0" eb="1">
      <t>トク</t>
    </rPh>
    <rPh sb="1" eb="2">
      <t>チョウ</t>
    </rPh>
    <rPh sb="2" eb="4">
      <t>イガイ</t>
    </rPh>
    <rPh sb="5" eb="8">
      <t>オオサカフ</t>
    </rPh>
    <phoneticPr fontId="7"/>
  </si>
  <si>
    <t>大阪府建築基準法施行条例　第７０条第２項</t>
  </si>
  <si>
    <t xml:space="preserve">大阪市　　　　　　　　　　　　　　 </t>
  </si>
  <si>
    <t>大阪市建築基準法施行条例　第３条第１項</t>
  </si>
  <si>
    <t>池田市</t>
  </si>
  <si>
    <t>池田市建築基準法施行条例　第２条第２項</t>
  </si>
  <si>
    <t>枚方市　</t>
  </si>
  <si>
    <t>枚方市建築基準法関係事務条例　第３条</t>
  </si>
  <si>
    <t xml:space="preserve">吹田市　　　　　　　　　　　　　　 </t>
  </si>
  <si>
    <t>吹田市建築基準法施行条例　第３条第２項</t>
  </si>
  <si>
    <r>
      <t>　　</t>
    </r>
    <r>
      <rPr>
        <b/>
        <sz val="14"/>
        <rFont val="ＭＳ Ｐ明朝"/>
        <family val="1"/>
        <charset val="128"/>
      </rPr>
      <t>株式会社　Ｉ-ＰＥＣ</t>
    </r>
    <r>
      <rPr>
        <b/>
        <sz val="10.5"/>
        <rFont val="ＭＳ Ｐ明朝"/>
        <family val="1"/>
        <charset val="128"/>
      </rPr>
      <t>　　　　　様</t>
    </r>
    <rPh sb="2" eb="6">
      <t>カブシキガイシャ</t>
    </rPh>
    <rPh sb="17" eb="18">
      <t>サマ</t>
    </rPh>
    <phoneticPr fontId="7"/>
  </si>
  <si>
    <t>守口市　　　　　　　　　　　　　　</t>
  </si>
  <si>
    <t>守口市建築基準法施行条例　第４条第２項</t>
  </si>
  <si>
    <t>茨木市　　　　　　　　　　　　　　</t>
  </si>
  <si>
    <t>茨木市建築基準法施行条例　第２条第２項</t>
  </si>
  <si>
    <t>届出者　</t>
  </si>
  <si>
    <t xml:space="preserve">八尾市　　　　　　　　　　　　　　 </t>
  </si>
  <si>
    <t>八尾市建築基準法施行条例　第３条第２項</t>
  </si>
  <si>
    <t>住所　</t>
  </si>
  <si>
    <t>（法人にあっては、主たる事務所の所在地）</t>
  </si>
  <si>
    <t>寝屋川市　　　　　　　　　　　　　</t>
  </si>
  <si>
    <t>寝屋川市建築基準法施行条例　第３条第１項</t>
  </si>
  <si>
    <t>〒　</t>
  </si>
  <si>
    <t xml:space="preserve">門真市　　　　　　　　　　　　　　 </t>
  </si>
  <si>
    <t>門真市建築基準法施行条例　第３条第２項</t>
  </si>
  <si>
    <t>東大阪市　　　　　　　　　　　　　</t>
  </si>
  <si>
    <t>東大阪市建築基準法施行条例　第３条第２項</t>
  </si>
  <si>
    <t>（法人にあってはその名称及び代表者の氏名）</t>
  </si>
  <si>
    <t>箕面市</t>
  </si>
  <si>
    <t>箕面市建築基準法施行条例　第３条第２項</t>
  </si>
  <si>
    <t>堺市</t>
  </si>
  <si>
    <t>堺市建築基準法施行条例　第３条第２項</t>
  </si>
  <si>
    <t>電話</t>
  </si>
  <si>
    <t>和泉市</t>
  </si>
  <si>
    <t>和泉市建築基準法施行条例　第６７条第２項</t>
  </si>
  <si>
    <t>豊中市　　　　　　　　　　　　　　</t>
  </si>
  <si>
    <t>豊中市建築基準法施行条例　第６１条第２項</t>
  </si>
  <si>
    <t>の規定により、下記の建築物について</t>
  </si>
  <si>
    <t>高槻市　　　　　　　　　　　　　　</t>
  </si>
  <si>
    <t>高槻市建築基準法施行条例　第３６条</t>
  </si>
  <si>
    <t>羽曳野市</t>
  </si>
  <si>
    <t>羽曳野市建築基準法施行条例　第３条</t>
  </si>
  <si>
    <t>を工事監理者として(選定・変更)したので届け出ます。</t>
  </si>
  <si>
    <t>　　また､私は、建築士法第２４条の８に規程する工事監理契約に係る書面の交付を受け､建築工事監理業務を委託したことに</t>
  </si>
  <si>
    <t>　相違ない旨を申し添えます｡</t>
  </si>
  <si>
    <t>工　事　監　理　者</t>
  </si>
  <si>
    <t>〒</t>
  </si>
  <si>
    <t>住　　　　　所</t>
  </si>
  <si>
    <t>氏　　　　　名</t>
  </si>
  <si>
    <t>資　　　　　格</t>
  </si>
  <si>
    <t>　（</t>
  </si>
  <si>
    <t>）　</t>
  </si>
  <si>
    <t>建築士</t>
  </si>
  <si>
    <t xml:space="preserve">  (</t>
  </si>
  <si>
    <t>）登録第</t>
  </si>
  <si>
    <t>事　務　所　名</t>
  </si>
  <si>
    <t>建築事務所（</t>
  </si>
  <si>
    <t>）知事登録第</t>
  </si>
  <si>
    <t>　　　建築士法に基づき､下記の建築物の工事監理を引受け、建築確認申請（計画変更の場合を含む）に係る図面に則して工事</t>
  </si>
  <si>
    <t>　　監理することを届け出ます。</t>
  </si>
  <si>
    <t>変更前の工事監理者</t>
  </si>
  <si>
    <t>印</t>
  </si>
  <si>
    <t>　（大臣・</t>
  </si>
  <si>
    <t>知事）登録第</t>
  </si>
  <si>
    <t>工事監理者を変更した</t>
  </si>
  <si>
    <t>　　　　　場合のみ記入</t>
  </si>
  <si>
    <t>建　築　物　の　名　称</t>
  </si>
  <si>
    <t>敷　地　の　位　置</t>
  </si>
  <si>
    <t>（　地　名　地　番　）</t>
  </si>
  <si>
    <t>確認済証番号　及び</t>
  </si>
  <si>
    <t>確認建築IPEC</t>
  </si>
  <si>
    <t>確更建築IPEC</t>
  </si>
  <si>
    <t>交　付　年　月　日</t>
  </si>
  <si>
    <t>確認一工IPEC</t>
  </si>
  <si>
    <t>確更一工IPEC</t>
  </si>
  <si>
    <t>確認昇降IPEC</t>
  </si>
  <si>
    <t>工　事　の　計　画</t>
  </si>
  <si>
    <t>工事着手日</t>
  </si>
  <si>
    <t>確更昇降IPEC</t>
  </si>
  <si>
    <t>　特定工程（1）</t>
  </si>
  <si>
    <t>年月日を記載した工程</t>
  </si>
  <si>
    <t>　特定工程（2）</t>
  </si>
  <si>
    <t>表に変えてもよい。</t>
  </si>
  <si>
    <t>工事完了日</t>
  </si>
  <si>
    <t>備　　　　考</t>
  </si>
  <si>
    <t>工事監理者が複数の場合は、その者の</t>
  </si>
  <si>
    <t>住所、氏名及び電話番号等を記入</t>
  </si>
  <si>
    <t>※　受　付　欄</t>
  </si>
  <si>
    <t>※　決　済　欄</t>
  </si>
  <si>
    <t>※　番　号　欄</t>
  </si>
  <si>
    <t>令和</t>
  </si>
  <si>
    <t>注</t>
  </si>
  <si>
    <t>1　建築主、設置者又は建築主が届け出てください。</t>
  </si>
  <si>
    <t>2　建築主､工事監理者に変更がある場合には､速やかに工事監理者の変更の届出をしてください｡</t>
  </si>
  <si>
    <t>3　建築主､工事監理者の変更の手続きがない場合は､本届出の建築主､工事監理者が工事監理の責任者とみなされます｡</t>
  </si>
  <si>
    <t>4　※印の欄については、記入しないでください。</t>
  </si>
  <si>
    <t>様式－ＩＰＥＣ－０７</t>
  </si>
  <si>
    <t>軽微な変更報告書</t>
  </si>
  <si>
    <t>下記事項について、建築基準法第６条の２に基づく建築基準法施行規則第３条の２に規定する</t>
  </si>
  <si>
    <t>　　</t>
  </si>
  <si>
    <t>軽微な変更をいたしますので、お届けします。</t>
  </si>
  <si>
    <t>株式会社　Ｉ－ＰＥＣ</t>
  </si>
  <si>
    <t>様</t>
  </si>
  <si>
    <t>建築主（設置者・築造主）</t>
  </si>
  <si>
    <t>住所（所在地）</t>
  </si>
  <si>
    <t>記</t>
  </si>
  <si>
    <t>1．</t>
  </si>
  <si>
    <t>建築場所又は設置場所又は築造場所の地名地番</t>
  </si>
  <si>
    <t>2．</t>
  </si>
  <si>
    <t>3．</t>
  </si>
  <si>
    <t>第　R</t>
  </si>
  <si>
    <t>4．</t>
  </si>
  <si>
    <t>5．</t>
  </si>
  <si>
    <t>添付図書</t>
  </si>
  <si>
    <t>１</t>
  </si>
  <si>
    <t>図面の必要な場合は、変更箇所の分かる図書を添付してください。</t>
  </si>
  <si>
    <t>２</t>
  </si>
  <si>
    <t>この届は、建築主、設置者又は築造主でなければ出来ません。</t>
  </si>
  <si>
    <t>３</t>
  </si>
  <si>
    <t>届出には軽微な変更をされる副本を提出して下さい。</t>
  </si>
  <si>
    <t>様式-IPEC－12</t>
  </si>
  <si>
    <t>確認申請誤記訂正届</t>
  </si>
  <si>
    <t>下記の申請に記入事項の誤りがありましたので、訂正願います。</t>
  </si>
  <si>
    <t>株式会社　I-PEC</t>
  </si>
  <si>
    <t>届出者氏名</t>
  </si>
  <si>
    <t>届出者住所</t>
  </si>
  <si>
    <t>1.申請者</t>
  </si>
  <si>
    <t>住所（法人にあっては、主たる事務所の所在地）</t>
  </si>
  <si>
    <t>氏名（法人にあっては、名称及び代表者名）</t>
  </si>
  <si>
    <t>2.建築場所</t>
  </si>
  <si>
    <t>　設置場所</t>
  </si>
  <si>
    <t>の地名地番</t>
  </si>
  <si>
    <t>　築造場所</t>
  </si>
  <si>
    <t>3.確認済証番号</t>
  </si>
  <si>
    <t>　交付年月日</t>
  </si>
  <si>
    <t>4.訂正内容</t>
  </si>
  <si>
    <t>誤</t>
  </si>
  <si>
    <t>正</t>
  </si>
  <si>
    <t>5.訂正理由</t>
  </si>
  <si>
    <t>この届は、建築主、設置者又は築造主でなければできません。</t>
  </si>
  <si>
    <t>届出には誤記訂正をされる確認済証と副本を提出してください。</t>
  </si>
  <si>
    <t>概要書の記載事項に変更が生じた場合は誤記訂正済の建築計画概要書（法規則第三号様式）</t>
  </si>
  <si>
    <t>を改めて提出してください。</t>
  </si>
  <si>
    <t>建 築 主 等 変 更 届</t>
  </si>
  <si>
    <t>（京都市第１３号様式の２)２４条関係</t>
  </si>
  <si>
    <t>建築主等の変更が有りましたので、届け出ます。</t>
  </si>
  <si>
    <t>　記</t>
  </si>
  <si>
    <t>１．建築場所又は設置場所又は築造場所の地名地番</t>
  </si>
  <si>
    <t>２．確認済証交付年月日</t>
  </si>
  <si>
    <t>３．確認済証番号</t>
  </si>
  <si>
    <t>変更の種別</t>
  </si>
  <si>
    <t>設置者</t>
  </si>
  <si>
    <t>築造主</t>
  </si>
  <si>
    <t>建築主、　設置者
又は築造主</t>
  </si>
  <si>
    <t>変更前</t>
  </si>
  <si>
    <t>変更後</t>
  </si>
  <si>
    <t>（　　　　）　　　-</t>
  </si>
  <si>
    <t>代　　理　　者</t>
  </si>
  <si>
    <t>住所又は所在地</t>
  </si>
  <si>
    <t>資格　　（</t>
  </si>
  <si>
    <t>）級建築士</t>
  </si>
  <si>
    <t>建築士事務所名</t>
  </si>
  <si>
    <t>登録　　（</t>
  </si>
  <si>
    <t>）級建築士事務所</t>
  </si>
  <si>
    <t>）知事登録</t>
  </si>
  <si>
    <t>（　　　　　）　　　　　-</t>
  </si>
  <si>
    <t>監理者</t>
  </si>
  <si>
    <t>工事と照合する設計図書</t>
  </si>
  <si>
    <t>国土交通大臣許可</t>
  </si>
  <si>
    <t>知事許可</t>
  </si>
  <si>
    <t>）第</t>
  </si>
  <si>
    <t>備　　　　　　考</t>
  </si>
  <si>
    <t>注 1　この届は、建築主（設置者又は築造主）でなければできません。</t>
  </si>
  <si>
    <t>2　該当する□には、レ印を記入してください。</t>
  </si>
  <si>
    <t xml:space="preserve">     3  届出には変更される確認済証と副本を提出して下さい。</t>
  </si>
  <si>
    <t>4　代理者に変更が有る場合は新たに委任状を添付してください。</t>
  </si>
  <si>
    <t>（別紙）</t>
  </si>
  <si>
    <t>様式－ＩＰＥＣ－０９</t>
  </si>
  <si>
    <t>選　　定　　届</t>
  </si>
  <si>
    <t>(京都市１３号様式）２４条関係</t>
  </si>
  <si>
    <t>(府１５号様式）5条関係</t>
  </si>
  <si>
    <t>工事施工者、工事監理者を定めましたので、届け出ます。</t>
  </si>
  <si>
    <t>国土交通大臣</t>
  </si>
  <si>
    <t>住　所</t>
  </si>
  <si>
    <t>-</t>
  </si>
  <si>
    <t>氏　名</t>
  </si>
  <si>
    <t>）級建築士　登録第</t>
  </si>
  <si>
    <t>登録</t>
  </si>
  <si>
    <t>（　　　　　）　　　　-</t>
  </si>
  <si>
    <t>）知事登録　第</t>
  </si>
  <si>
    <t>工事と照合する図書</t>
  </si>
  <si>
    <t>－</t>
  </si>
  <si>
    <t>備　考</t>
  </si>
  <si>
    <t>1.この届は、建築主（設置者又は築造主）でなければできません。</t>
  </si>
  <si>
    <t>2.該当する□には、レ印を記入してください。</t>
  </si>
  <si>
    <t>3.工事監理者の欄及び工事施工者の欄については、該当する欄に記入してください。</t>
  </si>
  <si>
    <t>様式－Ｂ－０１，０２，０３</t>
  </si>
  <si>
    <t>(京都市第４号様式)６条関係</t>
  </si>
  <si>
    <t>確認･検査　申請取り下げ届</t>
  </si>
  <si>
    <t>下記の申請について、都合により申請を取り下げたいので、　　　　　　　　　　　　　　　　　　　　　　　　　　　　　　　　　　　　　　　　　　　　</t>
  </si>
  <si>
    <t>株式会社　Ｉ－ＰＥＣ　確認検査業務規程第２３条、第３０条、第３６条の規定により届け出ます。</t>
  </si>
  <si>
    <t>１．</t>
  </si>
  <si>
    <t>２．</t>
  </si>
  <si>
    <t>申請書提出年月日</t>
  </si>
  <si>
    <t>３．</t>
  </si>
  <si>
    <t>受付番号</t>
  </si>
  <si>
    <t>４．</t>
  </si>
  <si>
    <t>申請した業務</t>
  </si>
  <si>
    <t>建築基準法第６条の２第1項の規定による確認</t>
  </si>
  <si>
    <t>建築基準法第７条の４第1項の規定による中間検査</t>
  </si>
  <si>
    <t>建築基準法第７条の２第1項の規定による完了検査</t>
  </si>
  <si>
    <t>５．</t>
  </si>
  <si>
    <t>申請した業務の対象</t>
  </si>
  <si>
    <t>工作物</t>
  </si>
  <si>
    <t>６．</t>
  </si>
  <si>
    <t>取下げの理由</t>
  </si>
  <si>
    <t>この届出は、建築主（設置者・築造主）でなければできません。</t>
  </si>
  <si>
    <t>該当する</t>
  </si>
  <si>
    <t>には、</t>
  </si>
  <si>
    <t>「レ」印を記入してください。</t>
  </si>
  <si>
    <t>様式－ＩＰＥＣ－１０</t>
  </si>
  <si>
    <t>工事取りやめ届</t>
  </si>
  <si>
    <t>下記の確認済証の交付されている工事又は用途変更について、都合により取りやめたいので、</t>
  </si>
  <si>
    <t>届け出ます。</t>
  </si>
  <si>
    <t>４.</t>
  </si>
  <si>
    <t>取りやめ部分</t>
  </si>
  <si>
    <t>全部</t>
  </si>
  <si>
    <t>一部）</t>
  </si>
  <si>
    <t>建築面積のうち　　　　　　　</t>
  </si>
  <si>
    <t>延べ面積のうち　　　　　</t>
  </si>
  <si>
    <t>５.</t>
  </si>
  <si>
    <t>取りやめの理由</t>
  </si>
  <si>
    <t>届出には取りやめる工事の確認済証と副本を提出してください。</t>
  </si>
  <si>
    <t>追加説明書（仮使用認定検査）</t>
    <rPh sb="6" eb="9">
      <t>カリシヨウ</t>
    </rPh>
    <rPh sb="9" eb="13">
      <t>ニンテイケンサ</t>
    </rPh>
    <phoneticPr fontId="7"/>
  </si>
  <si>
    <t>建築基準法第７条の６第１項第二号の規定に基づく仮使用認定検査にかかる追加説明書を
とおり提出します。</t>
    <phoneticPr fontId="7"/>
  </si>
  <si>
    <t>下記のとおり提出します。</t>
    <phoneticPr fontId="7"/>
  </si>
  <si>
    <t>仮使用認定申請年月日</t>
    <phoneticPr fontId="7"/>
  </si>
  <si>
    <t>仮使用認定
申請受付
番号</t>
    <phoneticPr fontId="7"/>
  </si>
  <si>
    <t>確可建築IPEC</t>
    <rPh sb="1" eb="2">
      <t>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</si>
</sst>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yyyy/m/d;@"/>
    <numFmt numFmtId="177" formatCode="#,##0.00_ "/>
    <numFmt numFmtId="178" formatCode="#,##0.000_ "/>
    <numFmt numFmtId="179" formatCode="0000"/>
    <numFmt numFmtId="180" formatCode="[$-411]ggge&quot;年&quot;m&quot;月&quot;d&quot;日&quot;;@"/>
    <numFmt numFmtId="181" formatCode="#,##0.00_);[Red]\(#,##0.00\)"/>
    <numFmt numFmtId="182" formatCode="e"/>
    <numFmt numFmtId="183" formatCode="m"/>
    <numFmt numFmtId="184" formatCode="d"/>
    <numFmt numFmtId="185" formatCode="yyyy/mm/dd"/>
    <numFmt numFmtId="186" formatCode="[$-411]ggge&quot;年&quot;mm&quot;月&quot;dd&quot;日 ( &quot;aaa&quot; )&quot;;@"/>
    <numFmt numFmtId="187" formatCode="[$-F800]dddd\,\ mmmm\ dd\,\ yyyy"/>
    <numFmt numFmtId="188" formatCode="ggg"/>
    <numFmt numFmtId="189" formatCode="\1."/>
    <numFmt numFmtId="190" formatCode="."/>
    <numFmt numFmtId="191" formatCode="00"/>
  </numFmts>
  <fonts count="75">
    <font>
      <sz val="11"/>
      <name val="ＭＳ Ｐゴシック"/>
      <family val="3"/>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indexed="8"/>
      <name val="ＭＳ Ｐゴシック"/>
      <family val="3"/>
    </font>
    <font>
      <sz val="11"/>
      <name val="ＭＳ Ｐゴシック"/>
      <family val="3"/>
    </font>
    <font>
      <sz val="10"/>
      <name val="ＭＳ Ｐゴシック"/>
      <family val="3"/>
    </font>
    <font>
      <sz val="12"/>
      <name val="ＭＳ Ｐゴシック"/>
      <family val="3"/>
    </font>
    <font>
      <sz val="9"/>
      <name val="ＭＳ Ｐゴシック"/>
      <family val="3"/>
    </font>
    <font>
      <sz val="12"/>
      <color indexed="8"/>
      <name val="ＭＳ 明朝"/>
      <family val="1"/>
    </font>
    <font>
      <sz val="12"/>
      <name val="ＭＳ 明朝"/>
      <family val="1"/>
    </font>
    <font>
      <sz val="11"/>
      <color indexed="8"/>
      <name val="ＭＳ 明朝"/>
      <family val="1"/>
    </font>
    <font>
      <sz val="11"/>
      <name val="ＭＳ 明朝"/>
      <family val="1"/>
    </font>
    <font>
      <sz val="10"/>
      <name val="ＭＳ 明朝"/>
      <family val="1"/>
    </font>
    <font>
      <b/>
      <sz val="18"/>
      <name val="ＭＳ ゴシック"/>
      <family val="3"/>
    </font>
    <font>
      <sz val="9"/>
      <color indexed="10"/>
      <name val="ＭＳ Ｐゴシック"/>
      <family val="3"/>
    </font>
    <font>
      <sz val="11"/>
      <color theme="1"/>
      <name val="ＭＳ 明朝"/>
      <family val="1"/>
    </font>
    <font>
      <sz val="10.5"/>
      <color theme="1"/>
      <name val="ＭＳ 明朝"/>
      <family val="1"/>
    </font>
    <font>
      <sz val="10"/>
      <color theme="1"/>
      <name val="ＭＳ 明朝"/>
      <family val="1"/>
    </font>
    <font>
      <sz val="9"/>
      <color indexed="8"/>
      <name val="ＭＳ Ｐゴシック"/>
      <family val="3"/>
    </font>
    <font>
      <sz val="10"/>
      <color rgb="FFFF0000"/>
      <name val="ＭＳ Ｐゴシック"/>
      <family val="3"/>
    </font>
    <font>
      <u/>
      <sz val="11"/>
      <color theme="10"/>
      <name val="ＭＳ Ｐゴシック"/>
      <family val="2"/>
      <scheme val="minor"/>
    </font>
    <font>
      <sz val="9"/>
      <color indexed="9"/>
      <name val="ＭＳ Ｐゴシック"/>
      <family val="3"/>
    </font>
    <font>
      <b/>
      <sz val="18"/>
      <color indexed="56"/>
      <name val="ＭＳ Ｐゴシック"/>
      <family val="3"/>
    </font>
    <font>
      <b/>
      <sz val="9"/>
      <color indexed="9"/>
      <name val="ＭＳ Ｐゴシック"/>
      <family val="3"/>
    </font>
    <font>
      <sz val="9"/>
      <color indexed="60"/>
      <name val="ＭＳ Ｐゴシック"/>
      <family val="3"/>
    </font>
    <font>
      <sz val="9"/>
      <color indexed="52"/>
      <name val="ＭＳ Ｐゴシック"/>
      <family val="3"/>
    </font>
    <font>
      <sz val="9"/>
      <color indexed="20"/>
      <name val="ＭＳ Ｐゴシック"/>
      <family val="3"/>
    </font>
    <font>
      <b/>
      <sz val="9"/>
      <color indexed="52"/>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9"/>
      <color indexed="8"/>
      <name val="ＭＳ Ｐゴシック"/>
      <family val="3"/>
    </font>
    <font>
      <b/>
      <sz val="9"/>
      <color indexed="63"/>
      <name val="ＭＳ Ｐゴシック"/>
      <family val="3"/>
    </font>
    <font>
      <i/>
      <sz val="9"/>
      <color indexed="23"/>
      <name val="ＭＳ Ｐゴシック"/>
      <family val="3"/>
    </font>
    <font>
      <sz val="9"/>
      <color indexed="62"/>
      <name val="ＭＳ Ｐゴシック"/>
      <family val="3"/>
    </font>
    <font>
      <sz val="9"/>
      <color indexed="17"/>
      <name val="ＭＳ Ｐゴシック"/>
      <family val="3"/>
    </font>
    <font>
      <sz val="11"/>
      <color theme="1"/>
      <name val="ＭＳ Ｐゴシック"/>
      <family val="3"/>
      <scheme val="minor"/>
    </font>
    <font>
      <sz val="10"/>
      <color indexed="8"/>
      <name val="ＭＳ Ｐゴシック"/>
      <family val="3"/>
    </font>
    <font>
      <sz val="10"/>
      <color theme="1"/>
      <name val="ＭＳ Ｐゴシック"/>
      <family val="3"/>
    </font>
    <font>
      <sz val="11"/>
      <name val="ＭＳ Ｐゴシック"/>
      <family val="3"/>
    </font>
    <font>
      <sz val="11"/>
      <color theme="1"/>
      <name val="ＭＳ Ｐゴシック"/>
      <family val="2"/>
      <scheme val="minor"/>
    </font>
    <font>
      <sz val="16"/>
      <color theme="1"/>
      <name val="ＭＳ 明朝"/>
      <family val="1"/>
    </font>
    <font>
      <sz val="10.5"/>
      <color theme="1"/>
      <name val="ＭＳ Ｐ明朝"/>
      <family val="1"/>
    </font>
    <font>
      <b/>
      <sz val="14"/>
      <color theme="1"/>
      <name val="ＭＳ 明朝"/>
      <family val="1"/>
    </font>
    <font>
      <sz val="9"/>
      <name val="ＭＳ 明朝"/>
      <family val="1"/>
    </font>
    <font>
      <sz val="7.5"/>
      <name val="ＭＳ 明朝"/>
      <family val="1"/>
    </font>
    <font>
      <sz val="7"/>
      <name val="ＭＳ Ｐゴシック"/>
      <family val="3"/>
    </font>
    <font>
      <sz val="8"/>
      <name val="ＭＳ Ｐゴシック"/>
      <family val="3"/>
    </font>
    <font>
      <sz val="10.5"/>
      <name val="ＭＳ Ｐ明朝"/>
      <family val="1"/>
    </font>
    <font>
      <sz val="8"/>
      <name val="ＭＳ 明朝"/>
      <family val="1"/>
    </font>
    <font>
      <sz val="8"/>
      <name val="ＭＳ Ｐ明朝"/>
      <family val="1"/>
    </font>
    <font>
      <sz val="10"/>
      <name val="ＭＳ Ｐ明朝"/>
      <family val="1"/>
    </font>
    <font>
      <sz val="10.5"/>
      <name val="ＭＳ Ｐゴシック"/>
      <family val="3"/>
    </font>
    <font>
      <b/>
      <sz val="10.5"/>
      <name val="ＭＳ Ｐ明朝"/>
      <family val="1"/>
    </font>
    <font>
      <b/>
      <sz val="14"/>
      <name val="ＭＳ Ｐ明朝"/>
      <family val="1"/>
    </font>
    <font>
      <sz val="14"/>
      <name val="ＭＳ Ｐゴシック"/>
      <family val="3"/>
    </font>
    <font>
      <b/>
      <sz val="14"/>
      <name val="ＭＳ 明朝"/>
      <family val="1"/>
    </font>
    <font>
      <sz val="14"/>
      <name val="ＭＳ 明朝"/>
      <family val="1"/>
    </font>
    <font>
      <sz val="9"/>
      <name val="ＭＳ Ｐ明朝"/>
      <family val="1"/>
    </font>
    <font>
      <b/>
      <sz val="12"/>
      <name val="ＭＳ 明朝"/>
      <family val="1"/>
    </font>
    <font>
      <sz val="11"/>
      <name val="ＭＳ Ｐ明朝"/>
      <family val="1"/>
    </font>
    <font>
      <sz val="14"/>
      <name val="ＭＳ Ｐ明朝"/>
      <family val="1"/>
    </font>
    <font>
      <b/>
      <sz val="12"/>
      <name val="ＭＳ Ｐ明朝"/>
      <family val="1"/>
    </font>
    <font>
      <sz val="11"/>
      <color theme="1"/>
      <name val="ＭＳ Ｐ明朝"/>
      <family val="1"/>
    </font>
    <font>
      <sz val="10"/>
      <color theme="1"/>
      <name val="ＭＳ Ｐ明朝"/>
      <family val="1"/>
    </font>
    <font>
      <b/>
      <sz val="12"/>
      <color theme="1"/>
      <name val="ＭＳ Ｐ明朝"/>
      <family val="1"/>
    </font>
    <font>
      <sz val="10.5"/>
      <name val="ＭＳ Ｐ明朝"/>
      <family val="1"/>
      <charset val="128"/>
    </font>
    <font>
      <b/>
      <sz val="14"/>
      <name val="ＭＳ Ｐ明朝"/>
      <family val="1"/>
      <charset val="128"/>
    </font>
    <font>
      <b/>
      <sz val="10.5"/>
      <name val="ＭＳ Ｐ明朝"/>
      <family val="1"/>
      <charset val="128"/>
    </font>
    <font>
      <b/>
      <sz val="9"/>
      <color indexed="81"/>
      <name val="ＭＳ Ｐゴシック"/>
      <family val="3"/>
      <charset val="128"/>
    </font>
    <font>
      <b/>
      <sz val="9"/>
      <color indexed="81"/>
      <name val="MS P ゴシック"/>
      <family val="3"/>
      <charset val="128"/>
    </font>
    <font>
      <sz val="9"/>
      <color indexed="81"/>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50"/>
        <bgColor indexed="64"/>
      </patternFill>
    </fill>
    <fill>
      <patternFill patternType="solid">
        <fgColor indexed="52"/>
        <bgColor indexed="64"/>
      </patternFill>
    </fill>
    <fill>
      <patternFill patternType="solid">
        <fgColor indexed="29"/>
        <bgColor indexed="64"/>
      </patternFill>
    </fill>
    <fill>
      <patternFill patternType="solid">
        <fgColor rgb="FF99CCFF"/>
        <bgColor indexed="64"/>
      </patternFill>
    </fill>
    <fill>
      <patternFill patternType="solid">
        <fgColor rgb="FFFFFF99"/>
        <bgColor indexed="64"/>
      </patternFill>
    </fill>
    <fill>
      <patternFill patternType="solid">
        <fgColor rgb="FFFFFF00"/>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
      <patternFill patternType="solid">
        <fgColor rgb="FFFF99CC"/>
        <bgColor indexed="64"/>
      </patternFill>
    </fill>
    <fill>
      <patternFill patternType="solid">
        <fgColor rgb="FF00FF00"/>
        <bgColor indexed="64"/>
      </patternFill>
    </fill>
    <fill>
      <patternFill patternType="solid">
        <fgColor rgb="FF99CC00"/>
        <bgColor indexed="64"/>
      </patternFill>
    </fill>
    <fill>
      <patternFill patternType="solid">
        <fgColor theme="2"/>
        <bgColor indexed="64"/>
      </patternFill>
    </fill>
    <fill>
      <patternFill patternType="solid">
        <fgColor indexed="9"/>
        <bgColor indexed="64"/>
      </patternFill>
    </fill>
    <fill>
      <patternFill patternType="solid">
        <fgColor theme="9" tint="0.79998168889431442"/>
        <bgColor indexed="64"/>
      </patternFill>
    </fill>
  </fills>
  <borders count="10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hair">
        <color auto="1"/>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thin">
        <color rgb="FF0000FF"/>
      </left>
      <right style="hair">
        <color auto="1"/>
      </right>
      <top style="hair">
        <color auto="1"/>
      </top>
      <bottom/>
      <diagonal/>
    </border>
    <border>
      <left style="thin">
        <color rgb="FF0000FF"/>
      </left>
      <right style="hair">
        <color auto="1"/>
      </right>
      <top/>
      <bottom/>
      <diagonal/>
    </border>
    <border>
      <left style="thin">
        <color rgb="FF0000FF"/>
      </left>
      <right style="hair">
        <color auto="1"/>
      </right>
      <top/>
      <bottom style="hair">
        <color auto="1"/>
      </bottom>
      <diagonal/>
    </border>
    <border>
      <left style="hair">
        <color auto="1"/>
      </left>
      <right style="hair">
        <color auto="1"/>
      </right>
      <top style="hair">
        <color auto="1"/>
      </top>
      <bottom style="thin">
        <color rgb="FF0000FF"/>
      </bottom>
      <diagonal/>
    </border>
    <border>
      <left style="hair">
        <color indexed="64"/>
      </left>
      <right style="thin">
        <color indexed="64"/>
      </right>
      <top style="hair">
        <color indexed="64"/>
      </top>
      <bottom style="hair">
        <color indexed="64"/>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style="hair">
        <color auto="1"/>
      </top>
      <bottom style="thin">
        <color auto="1"/>
      </bottom>
      <diagonal/>
    </border>
    <border>
      <left style="thin">
        <color indexed="64"/>
      </left>
      <right/>
      <top style="hair">
        <color indexed="64"/>
      </top>
      <bottom/>
      <diagonal/>
    </border>
    <border>
      <left/>
      <right style="thin">
        <color auto="1"/>
      </right>
      <top style="hair">
        <color indexed="64"/>
      </top>
      <bottom/>
      <diagonal/>
    </border>
    <border>
      <left/>
      <right style="thin">
        <color auto="1"/>
      </right>
      <top/>
      <bottom style="hair">
        <color indexed="64"/>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auto="1"/>
      </left>
      <right style="thin">
        <color indexed="64"/>
      </right>
      <top style="hair">
        <color auto="1"/>
      </top>
      <bottom style="thin">
        <color indexed="64"/>
      </bottom>
      <diagonal/>
    </border>
    <border>
      <left/>
      <right style="thin">
        <color indexed="64"/>
      </right>
      <top style="hair">
        <color indexed="64"/>
      </top>
      <bottom style="hair">
        <color indexed="64"/>
      </bottom>
      <diagonal/>
    </border>
    <border>
      <left style="thin">
        <color auto="1"/>
      </left>
      <right/>
      <top/>
      <bottom/>
      <diagonal/>
    </border>
    <border>
      <left style="hair">
        <color indexed="64"/>
      </left>
      <right style="thin">
        <color indexed="64"/>
      </right>
      <top/>
      <bottom style="hair">
        <color indexed="64"/>
      </bottom>
      <diagonal/>
    </border>
    <border>
      <left style="thin">
        <color auto="1"/>
      </left>
      <right style="hair">
        <color auto="1"/>
      </right>
      <top style="thin">
        <color auto="1"/>
      </top>
      <bottom/>
      <diagonal/>
    </border>
    <border>
      <left style="thin">
        <color auto="1"/>
      </left>
      <right style="hair">
        <color auto="1"/>
      </right>
      <top/>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hair">
        <color indexed="64"/>
      </top>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s>
  <cellStyleXfs count="140">
    <xf numFmtId="0" fontId="0" fillId="12" borderId="0">
      <alignment vertical="center"/>
    </xf>
    <xf numFmtId="0" fontId="21" fillId="13" borderId="0">
      <alignment vertical="center"/>
    </xf>
    <xf numFmtId="0" fontId="21" fillId="14" borderId="0">
      <alignment vertical="center"/>
    </xf>
    <xf numFmtId="0" fontId="21" fillId="15" borderId="0">
      <alignment vertical="center"/>
    </xf>
    <xf numFmtId="0" fontId="21" fillId="16" borderId="0">
      <alignment vertical="center"/>
    </xf>
    <xf numFmtId="0" fontId="21" fillId="17" borderId="0">
      <alignment vertical="center"/>
    </xf>
    <xf numFmtId="0" fontId="21" fillId="18" borderId="0">
      <alignment vertical="center"/>
    </xf>
    <xf numFmtId="0" fontId="21" fillId="19" borderId="0">
      <alignment vertical="center"/>
    </xf>
    <xf numFmtId="0" fontId="21" fillId="20" borderId="0">
      <alignment vertical="center"/>
    </xf>
    <xf numFmtId="0" fontId="21" fillId="15" borderId="0">
      <alignment vertical="center"/>
    </xf>
    <xf numFmtId="0" fontId="21" fillId="18" borderId="0">
      <alignment vertical="center"/>
    </xf>
    <xf numFmtId="0" fontId="21" fillId="21" borderId="0">
      <alignment vertical="center"/>
    </xf>
    <xf numFmtId="0" fontId="24" fillId="22" borderId="0">
      <alignment vertical="center"/>
    </xf>
    <xf numFmtId="0" fontId="24" fillId="19" borderId="0">
      <alignment vertical="center"/>
    </xf>
    <xf numFmtId="0" fontId="24" fillId="20" borderId="0">
      <alignment vertical="center"/>
    </xf>
    <xf numFmtId="0" fontId="24" fillId="23" borderId="0">
      <alignment vertical="center"/>
    </xf>
    <xf numFmtId="0" fontId="24" fillId="24" borderId="0">
      <alignment vertical="center"/>
    </xf>
    <xf numFmtId="0" fontId="24" fillId="25" borderId="0">
      <alignment vertical="center"/>
    </xf>
    <xf numFmtId="0" fontId="24" fillId="26" borderId="0">
      <alignment vertical="center"/>
    </xf>
    <xf numFmtId="0" fontId="24" fillId="27" borderId="0">
      <alignment vertical="center"/>
    </xf>
    <xf numFmtId="0" fontId="24" fillId="28" borderId="0">
      <alignment vertical="center"/>
    </xf>
    <xf numFmtId="0" fontId="24" fillId="23" borderId="0">
      <alignment vertical="center"/>
    </xf>
    <xf numFmtId="0" fontId="24" fillId="24" borderId="0">
      <alignment vertical="center"/>
    </xf>
    <xf numFmtId="0" fontId="24" fillId="29" borderId="0">
      <alignment vertical="center"/>
    </xf>
    <xf numFmtId="0" fontId="25" fillId="0" borderId="0">
      <alignment vertical="center"/>
    </xf>
    <xf numFmtId="0" fontId="26" fillId="30" borderId="22">
      <alignment vertical="center"/>
    </xf>
    <xf numFmtId="0" fontId="27" fillId="31" borderId="0">
      <alignment vertical="center"/>
    </xf>
    <xf numFmtId="9" fontId="7" fillId="0" borderId="0"/>
    <xf numFmtId="9" fontId="7" fillId="0" borderId="0"/>
    <xf numFmtId="9" fontId="7" fillId="0" borderId="0">
      <alignment vertical="center"/>
    </xf>
    <xf numFmtId="0" fontId="23" fillId="0" borderId="0">
      <alignment vertical="center"/>
    </xf>
    <xf numFmtId="0" fontId="21" fillId="32" borderId="23">
      <alignment vertical="center"/>
    </xf>
    <xf numFmtId="0" fontId="28" fillId="0" borderId="24">
      <alignment vertical="center"/>
    </xf>
    <xf numFmtId="0" fontId="29" fillId="13" borderId="0">
      <alignment vertical="center"/>
    </xf>
    <xf numFmtId="0" fontId="30" fillId="33" borderId="25">
      <alignment vertical="center"/>
    </xf>
    <xf numFmtId="0" fontId="17" fillId="0" borderId="0">
      <alignment vertical="center"/>
    </xf>
    <xf numFmtId="38" fontId="7" fillId="0" borderId="0"/>
    <xf numFmtId="0" fontId="31" fillId="0" borderId="26">
      <alignment vertical="center"/>
    </xf>
    <xf numFmtId="0" fontId="32" fillId="0" borderId="27">
      <alignment vertical="center"/>
    </xf>
    <xf numFmtId="0" fontId="33" fillId="0" borderId="28">
      <alignment vertical="center"/>
    </xf>
    <xf numFmtId="0" fontId="33" fillId="0" borderId="0">
      <alignment vertical="center"/>
    </xf>
    <xf numFmtId="0" fontId="34" fillId="0" borderId="29">
      <alignment vertical="center"/>
    </xf>
    <xf numFmtId="0" fontId="35" fillId="33" borderId="30">
      <alignment vertical="center"/>
    </xf>
    <xf numFmtId="0" fontId="36" fillId="0" borderId="0">
      <alignment vertical="center"/>
    </xf>
    <xf numFmtId="6" fontId="7" fillId="0" borderId="0"/>
    <xf numFmtId="6" fontId="6" fillId="0" borderId="0">
      <alignment vertical="center"/>
    </xf>
    <xf numFmtId="6" fontId="6" fillId="0" borderId="0">
      <alignment vertical="center"/>
    </xf>
    <xf numFmtId="6" fontId="6" fillId="0" borderId="0">
      <alignment vertical="center"/>
    </xf>
    <xf numFmtId="6" fontId="6" fillId="0" borderId="0">
      <alignment vertical="center"/>
    </xf>
    <xf numFmtId="6" fontId="6" fillId="0" borderId="0">
      <alignment vertical="center"/>
    </xf>
    <xf numFmtId="6" fontId="7" fillId="0" borderId="0"/>
    <xf numFmtId="6" fontId="6" fillId="0" borderId="0">
      <alignment vertical="center"/>
    </xf>
    <xf numFmtId="6" fontId="10" fillId="0" borderId="0">
      <alignment vertical="center"/>
    </xf>
    <xf numFmtId="6" fontId="7" fillId="0" borderId="0"/>
    <xf numFmtId="0" fontId="37" fillId="17" borderId="25">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7" fillId="0" borderId="0">
      <alignment vertical="center"/>
    </xf>
    <xf numFmtId="0" fontId="7" fillId="0" borderId="0"/>
    <xf numFmtId="0" fontId="14" fillId="0" borderId="0"/>
    <xf numFmtId="0" fontId="14" fillId="0" borderId="0"/>
    <xf numFmtId="0" fontId="4" fillId="0" borderId="0">
      <alignment vertical="center"/>
    </xf>
    <xf numFmtId="0" fontId="1" fillId="0" borderId="0">
      <alignment vertical="center"/>
    </xf>
    <xf numFmtId="0" fontId="39"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vertical="center"/>
    </xf>
    <xf numFmtId="0" fontId="7" fillId="0" borderId="0"/>
    <xf numFmtId="0" fontId="7" fillId="0" borderId="0"/>
    <xf numFmtId="0" fontId="7" fillId="0" borderId="0"/>
    <xf numFmtId="0" fontId="10" fillId="0" borderId="0">
      <alignment vertical="center"/>
    </xf>
    <xf numFmtId="0" fontId="14" fillId="0" borderId="0"/>
    <xf numFmtId="0" fontId="39" fillId="0" borderId="0">
      <alignment vertical="center"/>
    </xf>
    <xf numFmtId="0" fontId="39" fillId="0" borderId="0">
      <alignment vertical="center"/>
    </xf>
    <xf numFmtId="0" fontId="14" fillId="0" borderId="0"/>
    <xf numFmtId="0" fontId="39" fillId="0" borderId="0">
      <alignment vertical="center"/>
    </xf>
    <xf numFmtId="0" fontId="39" fillId="0" borderId="0">
      <alignment vertical="center"/>
    </xf>
    <xf numFmtId="0" fontId="39"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21" fillId="0" borderId="0">
      <alignment vertical="center"/>
    </xf>
    <xf numFmtId="0" fontId="21" fillId="0" borderId="0">
      <alignment vertical="center"/>
    </xf>
    <xf numFmtId="0" fontId="14" fillId="0" borderId="0"/>
    <xf numFmtId="0" fontId="10" fillId="0" borderId="0">
      <alignment vertical="center"/>
    </xf>
    <xf numFmtId="9" fontId="42" fillId="0" borderId="0">
      <alignment vertical="center"/>
    </xf>
    <xf numFmtId="0" fontId="3" fillId="0" borderId="0">
      <alignment vertical="center"/>
    </xf>
    <xf numFmtId="0" fontId="3" fillId="0" borderId="0">
      <alignment vertical="center"/>
    </xf>
    <xf numFmtId="0" fontId="7" fillId="0" borderId="0"/>
    <xf numFmtId="0" fontId="3" fillId="0" borderId="0">
      <alignment vertical="center"/>
    </xf>
    <xf numFmtId="0" fontId="7" fillId="0" borderId="0"/>
    <xf numFmtId="0" fontId="3" fillId="0" borderId="0">
      <alignment vertical="center"/>
    </xf>
    <xf numFmtId="0" fontId="43" fillId="0" borderId="0">
      <alignment vertical="center"/>
    </xf>
    <xf numFmtId="0" fontId="7" fillId="0" borderId="0">
      <alignment vertical="center"/>
    </xf>
    <xf numFmtId="0" fontId="7" fillId="0" borderId="0"/>
    <xf numFmtId="0" fontId="38" fillId="14" borderId="0">
      <alignment vertical="center"/>
    </xf>
    <xf numFmtId="0" fontId="7" fillId="12" borderId="0">
      <alignment vertical="center"/>
    </xf>
  </cellStyleXfs>
  <cellXfs count="1085">
    <xf numFmtId="0" fontId="21" fillId="12" borderId="0" xfId="0" applyFont="1">
      <alignment vertical="center"/>
    </xf>
    <xf numFmtId="0" fontId="23" fillId="0" borderId="0" xfId="30">
      <alignment vertical="center"/>
    </xf>
    <xf numFmtId="0" fontId="0" fillId="12" borderId="0" xfId="0">
      <alignment vertical="center"/>
    </xf>
    <xf numFmtId="0" fontId="7" fillId="0" borderId="0" xfId="55"/>
    <xf numFmtId="0" fontId="5" fillId="0" borderId="0" xfId="65">
      <alignment vertical="center"/>
    </xf>
    <xf numFmtId="0" fontId="7" fillId="0" borderId="0" xfId="107"/>
    <xf numFmtId="0" fontId="7" fillId="0" borderId="0" xfId="109"/>
    <xf numFmtId="0" fontId="3" fillId="0" borderId="0" xfId="129">
      <alignment vertical="center"/>
    </xf>
    <xf numFmtId="0" fontId="8" fillId="2" borderId="1" xfId="0" applyFont="1" applyFill="1" applyBorder="1" applyAlignment="1">
      <alignment vertical="center" wrapText="1"/>
    </xf>
    <xf numFmtId="0" fontId="8" fillId="3" borderId="1" xfId="0" applyFont="1" applyFill="1" applyBorder="1" applyAlignment="1">
      <alignment vertical="center" wrapText="1"/>
    </xf>
    <xf numFmtId="49" fontId="0" fillId="12" borderId="0" xfId="0" applyNumberFormat="1">
      <alignment vertical="center"/>
    </xf>
    <xf numFmtId="0" fontId="0" fillId="6" borderId="0" xfId="0" applyFill="1">
      <alignment vertical="center"/>
    </xf>
    <xf numFmtId="0" fontId="0" fillId="5" borderId="0" xfId="0" applyFill="1">
      <alignment vertical="center"/>
    </xf>
    <xf numFmtId="0" fontId="0" fillId="7" borderId="0" xfId="0" applyFill="1">
      <alignment vertical="center"/>
    </xf>
    <xf numFmtId="0" fontId="8" fillId="2" borderId="6" xfId="0" applyFont="1" applyFill="1" applyBorder="1" applyAlignment="1">
      <alignment vertical="center" wrapText="1"/>
    </xf>
    <xf numFmtId="0" fontId="8" fillId="2" borderId="8" xfId="0" applyFont="1" applyFill="1" applyBorder="1" applyAlignment="1">
      <alignment vertical="center" wrapText="1"/>
    </xf>
    <xf numFmtId="0" fontId="8" fillId="3" borderId="6" xfId="0" applyFont="1" applyFill="1" applyBorder="1" applyAlignment="1">
      <alignment vertical="center" wrapText="1"/>
    </xf>
    <xf numFmtId="0" fontId="10" fillId="12" borderId="0" xfId="0" applyFont="1">
      <alignment vertical="center"/>
    </xf>
    <xf numFmtId="0" fontId="10" fillId="12" borderId="0" xfId="0" applyFont="1" applyAlignment="1">
      <alignment horizontal="left" vertical="center" wrapText="1"/>
    </xf>
    <xf numFmtId="0" fontId="10" fillId="12" borderId="0" xfId="0" applyFont="1" applyAlignment="1">
      <alignment horizontal="left" vertical="center"/>
    </xf>
    <xf numFmtId="0" fontId="17" fillId="12" borderId="0" xfId="0" applyFont="1" applyAlignment="1">
      <alignment horizontal="left" vertical="center"/>
    </xf>
    <xf numFmtId="0" fontId="8" fillId="12" borderId="0" xfId="0" applyFont="1">
      <alignment vertical="center"/>
    </xf>
    <xf numFmtId="0" fontId="8" fillId="12" borderId="0" xfId="0" applyFont="1" applyAlignment="1">
      <alignment horizontal="left" vertical="center"/>
    </xf>
    <xf numFmtId="0" fontId="20" fillId="0" borderId="0" xfId="65" applyFont="1" applyProtection="1">
      <alignment vertical="center"/>
      <protection locked="0"/>
    </xf>
    <xf numFmtId="0" fontId="23" fillId="0" borderId="0" xfId="30" applyAlignment="1">
      <alignment horizontal="center" vertical="center"/>
    </xf>
    <xf numFmtId="0" fontId="7" fillId="0" borderId="0" xfId="65" applyFont="1" applyProtection="1">
      <alignment vertical="center"/>
      <protection locked="0"/>
    </xf>
    <xf numFmtId="49" fontId="5" fillId="0" borderId="0" xfId="65" applyNumberFormat="1">
      <alignment vertical="center"/>
    </xf>
    <xf numFmtId="0" fontId="19" fillId="0" borderId="0" xfId="65" applyFont="1">
      <alignment vertical="center"/>
    </xf>
    <xf numFmtId="0" fontId="5" fillId="0" borderId="0" xfId="65" applyAlignment="1">
      <alignment horizontal="center" vertical="center"/>
    </xf>
    <xf numFmtId="0" fontId="8" fillId="0" borderId="4" xfId="136" applyFont="1" applyBorder="1" applyProtection="1">
      <alignment vertical="center"/>
      <protection locked="0"/>
    </xf>
    <xf numFmtId="0" fontId="8" fillId="2" borderId="0" xfId="0" applyFont="1" applyFill="1" applyAlignment="1">
      <alignment vertical="center" wrapText="1"/>
    </xf>
    <xf numFmtId="0" fontId="8" fillId="2" borderId="10" xfId="0" applyFont="1" applyFill="1" applyBorder="1" applyAlignment="1">
      <alignment vertical="center" wrapText="1"/>
    </xf>
    <xf numFmtId="0" fontId="8" fillId="2" borderId="9" xfId="0" applyFont="1" applyFill="1" applyBorder="1" applyAlignment="1">
      <alignment vertical="center" wrapText="1"/>
    </xf>
    <xf numFmtId="0" fontId="8" fillId="2" borderId="1" xfId="0" applyFont="1" applyFill="1" applyBorder="1" applyAlignment="1">
      <alignment vertical="center" shrinkToFit="1"/>
    </xf>
    <xf numFmtId="0" fontId="8" fillId="2" borderId="8" xfId="0" applyFont="1" applyFill="1" applyBorder="1" applyAlignment="1">
      <alignment vertical="center" shrinkToFit="1"/>
    </xf>
    <xf numFmtId="0" fontId="8" fillId="34" borderId="0" xfId="0" applyFont="1" applyFill="1" applyAlignment="1">
      <alignment vertical="center" wrapText="1"/>
    </xf>
    <xf numFmtId="0" fontId="40" fillId="12" borderId="0" xfId="0" applyFont="1">
      <alignment vertical="center"/>
    </xf>
    <xf numFmtId="49" fontId="8" fillId="12" borderId="0" xfId="0" applyNumberFormat="1" applyFont="1" applyAlignment="1">
      <alignment horizontal="left" vertical="center"/>
    </xf>
    <xf numFmtId="0" fontId="8" fillId="12" borderId="0" xfId="0" applyFont="1" applyAlignment="1">
      <alignment horizontal="left" vertical="top"/>
    </xf>
    <xf numFmtId="0" fontId="8" fillId="12" borderId="0" xfId="0" applyFont="1" applyAlignment="1">
      <alignment horizontal="left" vertical="top" wrapText="1"/>
    </xf>
    <xf numFmtId="49" fontId="8" fillId="34" borderId="6" xfId="0" applyNumberFormat="1" applyFont="1" applyFill="1" applyBorder="1" applyAlignment="1">
      <alignment horizontal="left" vertical="center"/>
    </xf>
    <xf numFmtId="49" fontId="8" fillId="34" borderId="9" xfId="0" applyNumberFormat="1" applyFont="1" applyFill="1" applyBorder="1" applyAlignment="1">
      <alignment horizontal="left" vertical="center"/>
    </xf>
    <xf numFmtId="49" fontId="8" fillId="34" borderId="6" xfId="0" applyNumberFormat="1" applyFont="1" applyFill="1" applyBorder="1" applyAlignment="1">
      <alignment horizontal="left" vertical="top"/>
    </xf>
    <xf numFmtId="49" fontId="8" fillId="34" borderId="12" xfId="0" applyNumberFormat="1" applyFont="1" applyFill="1" applyBorder="1" applyAlignment="1">
      <alignment horizontal="left" vertical="center"/>
    </xf>
    <xf numFmtId="49" fontId="8" fillId="34" borderId="13" xfId="0" applyNumberFormat="1" applyFont="1" applyFill="1" applyBorder="1" applyAlignment="1">
      <alignment horizontal="left" vertical="center"/>
    </xf>
    <xf numFmtId="0" fontId="8" fillId="34" borderId="20" xfId="0" applyFont="1" applyFill="1" applyBorder="1">
      <alignment vertical="center"/>
    </xf>
    <xf numFmtId="0" fontId="8" fillId="2" borderId="20" xfId="0" applyFont="1" applyFill="1" applyBorder="1" applyAlignment="1">
      <alignment vertical="center" wrapText="1"/>
    </xf>
    <xf numFmtId="0" fontId="8" fillId="34" borderId="0" xfId="0" applyFont="1" applyFill="1">
      <alignment vertical="center"/>
    </xf>
    <xf numFmtId="0" fontId="8" fillId="2" borderId="12" xfId="0" applyFont="1" applyFill="1" applyBorder="1" applyAlignment="1">
      <alignment vertical="center" wrapText="1"/>
    </xf>
    <xf numFmtId="0" fontId="8" fillId="34" borderId="1" xfId="0" applyFont="1" applyFill="1" applyBorder="1" applyAlignment="1">
      <alignment vertical="center" wrapText="1"/>
    </xf>
    <xf numFmtId="0" fontId="8" fillId="34" borderId="10" xfId="0" applyFont="1" applyFill="1" applyBorder="1" applyAlignment="1">
      <alignment vertical="center" wrapText="1"/>
    </xf>
    <xf numFmtId="0" fontId="8" fillId="34" borderId="1" xfId="0" applyFont="1" applyFill="1" applyBorder="1">
      <alignment vertical="center"/>
    </xf>
    <xf numFmtId="0" fontId="8" fillId="34" borderId="10" xfId="0" applyFont="1" applyFill="1" applyBorder="1">
      <alignment vertical="center"/>
    </xf>
    <xf numFmtId="0" fontId="8" fillId="34" borderId="6" xfId="0" applyFont="1" applyFill="1" applyBorder="1">
      <alignment vertical="center"/>
    </xf>
    <xf numFmtId="0" fontId="8" fillId="34" borderId="8" xfId="0" applyFont="1" applyFill="1" applyBorder="1">
      <alignment vertical="center"/>
    </xf>
    <xf numFmtId="0" fontId="8" fillId="11" borderId="1" xfId="0" applyFont="1" applyFill="1" applyBorder="1" applyAlignment="1">
      <alignment vertical="center" wrapText="1"/>
    </xf>
    <xf numFmtId="0" fontId="8" fillId="11" borderId="10" xfId="0" applyFont="1" applyFill="1" applyBorder="1" applyAlignment="1">
      <alignment vertical="center" wrapText="1"/>
    </xf>
    <xf numFmtId="0" fontId="8" fillId="11" borderId="20" xfId="0" applyFont="1" applyFill="1" applyBorder="1" applyAlignment="1">
      <alignment vertical="center" wrapText="1"/>
    </xf>
    <xf numFmtId="0" fontId="8" fillId="11" borderId="31" xfId="0" applyFont="1" applyFill="1" applyBorder="1" applyAlignment="1">
      <alignment vertical="center" wrapText="1"/>
    </xf>
    <xf numFmtId="0" fontId="8" fillId="11" borderId="32" xfId="0" applyFont="1" applyFill="1" applyBorder="1" applyAlignment="1">
      <alignment vertical="center" wrapText="1"/>
    </xf>
    <xf numFmtId="0" fontId="8" fillId="12" borderId="0" xfId="0" applyFont="1" applyAlignment="1">
      <alignment horizontal="left" vertical="center" wrapText="1"/>
    </xf>
    <xf numFmtId="0" fontId="8" fillId="34" borderId="3" xfId="0" applyFont="1" applyFill="1" applyBorder="1" applyAlignment="1">
      <alignment vertical="center" wrapText="1"/>
    </xf>
    <xf numFmtId="0" fontId="8" fillId="11" borderId="13" xfId="0" applyFont="1" applyFill="1" applyBorder="1" applyAlignment="1">
      <alignment vertical="center" wrapText="1"/>
    </xf>
    <xf numFmtId="0" fontId="8" fillId="2" borderId="0" xfId="0" applyFont="1" applyFill="1">
      <alignment vertical="center"/>
    </xf>
    <xf numFmtId="0" fontId="8" fillId="11" borderId="6" xfId="0" applyFont="1" applyFill="1" applyBorder="1">
      <alignment vertical="center"/>
    </xf>
    <xf numFmtId="0" fontId="8" fillId="11" borderId="8" xfId="0" applyFont="1" applyFill="1" applyBorder="1">
      <alignment vertical="center"/>
    </xf>
    <xf numFmtId="0" fontId="8" fillId="34" borderId="5" xfId="0" applyFont="1" applyFill="1" applyBorder="1">
      <alignment vertical="center"/>
    </xf>
    <xf numFmtId="0" fontId="8" fillId="11" borderId="12" xfId="0" applyFont="1" applyFill="1" applyBorder="1" applyAlignment="1">
      <alignment horizontal="left" vertical="center"/>
    </xf>
    <xf numFmtId="0" fontId="10" fillId="35" borderId="0" xfId="0" applyFont="1" applyFill="1" applyAlignment="1">
      <alignment horizontal="left" vertical="center"/>
    </xf>
    <xf numFmtId="0" fontId="8" fillId="34" borderId="9" xfId="0" applyFont="1" applyFill="1" applyBorder="1">
      <alignment vertical="center"/>
    </xf>
    <xf numFmtId="0" fontId="8" fillId="2" borderId="15" xfId="0" applyFont="1" applyFill="1" applyBorder="1" applyAlignment="1">
      <alignment vertical="center" wrapText="1"/>
    </xf>
    <xf numFmtId="0" fontId="8" fillId="2" borderId="11" xfId="0" applyFont="1" applyFill="1" applyBorder="1" applyAlignment="1">
      <alignment vertical="center" wrapText="1"/>
    </xf>
    <xf numFmtId="0" fontId="8" fillId="2" borderId="13" xfId="0" applyFont="1" applyFill="1" applyBorder="1" applyAlignment="1">
      <alignment vertical="center" wrapText="1"/>
    </xf>
    <xf numFmtId="0" fontId="8" fillId="2" borderId="35" xfId="0" applyFont="1" applyFill="1" applyBorder="1" applyAlignment="1">
      <alignment vertical="center" wrapText="1"/>
    </xf>
    <xf numFmtId="0" fontId="8" fillId="2" borderId="18" xfId="0" applyFont="1" applyFill="1" applyBorder="1" applyAlignment="1">
      <alignment vertical="center" wrapText="1"/>
    </xf>
    <xf numFmtId="0" fontId="8" fillId="2" borderId="34" xfId="0" applyFont="1" applyFill="1" applyBorder="1" applyAlignment="1">
      <alignment vertical="center" wrapText="1"/>
    </xf>
    <xf numFmtId="49" fontId="8" fillId="34" borderId="18" xfId="0" applyNumberFormat="1" applyFont="1" applyFill="1" applyBorder="1">
      <alignment vertical="center"/>
    </xf>
    <xf numFmtId="0" fontId="8" fillId="34" borderId="18" xfId="0" applyFont="1" applyFill="1" applyBorder="1">
      <alignment vertical="center"/>
    </xf>
    <xf numFmtId="0" fontId="8" fillId="34" borderId="34" xfId="0" applyFont="1" applyFill="1" applyBorder="1">
      <alignment vertical="center"/>
    </xf>
    <xf numFmtId="0" fontId="8" fillId="11" borderId="18" xfId="0" applyFont="1" applyFill="1" applyBorder="1" applyAlignment="1">
      <alignment vertical="center" wrapText="1"/>
    </xf>
    <xf numFmtId="0" fontId="8" fillId="34" borderId="18" xfId="0" applyFont="1" applyFill="1" applyBorder="1" applyAlignment="1">
      <alignment vertical="center" wrapText="1"/>
    </xf>
    <xf numFmtId="49" fontId="8" fillId="34" borderId="18" xfId="0" applyNumberFormat="1" applyFont="1" applyFill="1" applyBorder="1" applyAlignment="1">
      <alignment horizontal="left" vertical="top"/>
    </xf>
    <xf numFmtId="49" fontId="8" fillId="34" borderId="18" xfId="0" applyNumberFormat="1" applyFont="1" applyFill="1" applyBorder="1" applyAlignment="1">
      <alignment horizontal="left" vertical="center"/>
    </xf>
    <xf numFmtId="0" fontId="40" fillId="34" borderId="34" xfId="0" applyFont="1" applyFill="1" applyBorder="1">
      <alignment vertical="center"/>
    </xf>
    <xf numFmtId="0" fontId="8" fillId="34" borderId="14" xfId="0" applyFont="1" applyFill="1" applyBorder="1">
      <alignment vertical="center"/>
    </xf>
    <xf numFmtId="0" fontId="8" fillId="2" borderId="18" xfId="0" applyFont="1" applyFill="1" applyBorder="1" applyAlignment="1">
      <alignment vertical="center" shrinkToFit="1"/>
    </xf>
    <xf numFmtId="0" fontId="8" fillId="34" borderId="6" xfId="0" applyFont="1" applyFill="1" applyBorder="1" applyAlignment="1">
      <alignment vertical="center" wrapText="1"/>
    </xf>
    <xf numFmtId="0" fontId="8" fillId="34" borderId="8" xfId="0" applyFont="1" applyFill="1" applyBorder="1" applyAlignment="1">
      <alignment vertical="center" wrapText="1"/>
    </xf>
    <xf numFmtId="0" fontId="8" fillId="34" borderId="34" xfId="0" applyFont="1" applyFill="1" applyBorder="1" applyAlignment="1">
      <alignment vertical="center" wrapText="1"/>
    </xf>
    <xf numFmtId="0" fontId="8" fillId="2" borderId="36" xfId="0" applyFont="1" applyFill="1" applyBorder="1" applyAlignment="1">
      <alignment vertical="center" wrapText="1"/>
    </xf>
    <xf numFmtId="0" fontId="8" fillId="2" borderId="1" xfId="0" applyFont="1" applyFill="1" applyBorder="1">
      <alignment vertical="center"/>
    </xf>
    <xf numFmtId="0" fontId="8" fillId="34" borderId="15" xfId="0" applyFont="1" applyFill="1" applyBorder="1">
      <alignment vertical="center"/>
    </xf>
    <xf numFmtId="49" fontId="8" fillId="2" borderId="6" xfId="0" applyNumberFormat="1" applyFont="1" applyFill="1" applyBorder="1">
      <alignment vertical="center"/>
    </xf>
    <xf numFmtId="49" fontId="8" fillId="2" borderId="6" xfId="0" applyNumberFormat="1" applyFont="1" applyFill="1" applyBorder="1" applyAlignment="1">
      <alignment vertical="center" shrinkToFit="1"/>
    </xf>
    <xf numFmtId="49" fontId="8" fillId="2" borderId="8" xfId="0" applyNumberFormat="1" applyFont="1" applyFill="1" applyBorder="1" applyAlignment="1">
      <alignment vertical="center" shrinkToFit="1"/>
    </xf>
    <xf numFmtId="49" fontId="8" fillId="2" borderId="12" xfId="0" applyNumberFormat="1" applyFont="1" applyFill="1" applyBorder="1">
      <alignment vertical="center"/>
    </xf>
    <xf numFmtId="49" fontId="8" fillId="2" borderId="35" xfId="0" applyNumberFormat="1" applyFont="1" applyFill="1" applyBorder="1" applyAlignment="1">
      <alignment vertical="center" shrinkToFit="1"/>
    </xf>
    <xf numFmtId="49" fontId="8" fillId="2" borderId="36" xfId="0" applyNumberFormat="1" applyFont="1" applyFill="1" applyBorder="1" applyAlignment="1">
      <alignment vertical="center" shrinkToFit="1"/>
    </xf>
    <xf numFmtId="49" fontId="8" fillId="2" borderId="37" xfId="0" applyNumberFormat="1" applyFont="1" applyFill="1" applyBorder="1" applyAlignment="1">
      <alignment vertical="center" shrinkToFit="1"/>
    </xf>
    <xf numFmtId="0" fontId="8" fillId="2" borderId="10" xfId="0" applyFont="1" applyFill="1" applyBorder="1" applyAlignment="1">
      <alignment vertical="center" shrinkToFit="1"/>
    </xf>
    <xf numFmtId="0" fontId="8" fillId="2" borderId="5" xfId="0" applyFont="1" applyFill="1" applyBorder="1" applyAlignment="1">
      <alignment vertical="center" shrinkToFit="1"/>
    </xf>
    <xf numFmtId="0" fontId="8" fillId="34" borderId="1" xfId="0" applyFont="1" applyFill="1" applyBorder="1" applyAlignment="1">
      <alignment vertical="center" shrinkToFit="1"/>
    </xf>
    <xf numFmtId="0" fontId="8" fillId="34" borderId="10" xfId="0" applyFont="1" applyFill="1" applyBorder="1" applyAlignment="1">
      <alignment vertical="center" shrinkToFit="1"/>
    </xf>
    <xf numFmtId="176" fontId="8" fillId="12" borderId="0" xfId="0" applyNumberFormat="1" applyFont="1" applyAlignment="1">
      <alignment horizontal="left" vertical="center"/>
    </xf>
    <xf numFmtId="0" fontId="20" fillId="34" borderId="11" xfId="65" applyFont="1" applyFill="1" applyBorder="1" applyProtection="1">
      <alignment vertical="center"/>
      <protection locked="0"/>
    </xf>
    <xf numFmtId="0" fontId="20" fillId="34" borderId="0" xfId="65" applyFont="1" applyFill="1" applyProtection="1">
      <alignment vertical="center"/>
      <protection locked="0"/>
    </xf>
    <xf numFmtId="0" fontId="20" fillId="34" borderId="6" xfId="65" applyFont="1" applyFill="1" applyBorder="1" applyProtection="1">
      <alignment vertical="center"/>
      <protection locked="0"/>
    </xf>
    <xf numFmtId="0" fontId="8" fillId="34" borderId="33" xfId="0" applyFont="1" applyFill="1" applyBorder="1">
      <alignment vertical="center"/>
    </xf>
    <xf numFmtId="49" fontId="8" fillId="12" borderId="0" xfId="0" applyNumberFormat="1" applyFont="1">
      <alignment vertical="center"/>
    </xf>
    <xf numFmtId="0" fontId="8" fillId="34" borderId="7" xfId="0" applyFont="1" applyFill="1" applyBorder="1">
      <alignment vertical="center"/>
    </xf>
    <xf numFmtId="177" fontId="8" fillId="12" borderId="0" xfId="0" applyNumberFormat="1" applyFont="1">
      <alignment vertical="center"/>
    </xf>
    <xf numFmtId="177" fontId="8" fillId="12" borderId="0" xfId="0" applyNumberFormat="1" applyFont="1" applyAlignment="1">
      <alignment horizontal="left" vertical="center"/>
    </xf>
    <xf numFmtId="0" fontId="8" fillId="34" borderId="11" xfId="0" applyFont="1" applyFill="1" applyBorder="1">
      <alignment vertical="center"/>
    </xf>
    <xf numFmtId="0" fontId="8" fillId="34" borderId="13" xfId="0" applyFont="1" applyFill="1" applyBorder="1">
      <alignment vertical="center"/>
    </xf>
    <xf numFmtId="0" fontId="8" fillId="11" borderId="10" xfId="0" applyFont="1" applyFill="1" applyBorder="1">
      <alignment vertical="center"/>
    </xf>
    <xf numFmtId="0" fontId="8" fillId="11" borderId="6" xfId="0" applyFont="1" applyFill="1" applyBorder="1" applyAlignment="1">
      <alignment vertical="center" wrapText="1"/>
    </xf>
    <xf numFmtId="0" fontId="8" fillId="11" borderId="18" xfId="0" applyFont="1" applyFill="1" applyBorder="1">
      <alignment vertical="center"/>
    </xf>
    <xf numFmtId="0" fontId="8" fillId="11" borderId="34" xfId="0" applyFont="1" applyFill="1" applyBorder="1" applyAlignment="1">
      <alignment vertical="center" wrapText="1"/>
    </xf>
    <xf numFmtId="0" fontId="8" fillId="34" borderId="18" xfId="0" applyFont="1" applyFill="1" applyBorder="1" applyAlignment="1">
      <alignment horizontal="left" vertical="center"/>
    </xf>
    <xf numFmtId="0" fontId="8" fillId="11" borderId="0" xfId="0" applyFont="1" applyFill="1">
      <alignment vertical="center"/>
    </xf>
    <xf numFmtId="0" fontId="8" fillId="11" borderId="8" xfId="0" applyFont="1" applyFill="1" applyBorder="1" applyAlignment="1">
      <alignment vertical="center" wrapText="1"/>
    </xf>
    <xf numFmtId="0" fontId="8" fillId="2" borderId="5" xfId="0" applyFont="1" applyFill="1" applyBorder="1" applyAlignment="1">
      <alignment vertical="center" wrapText="1"/>
    </xf>
    <xf numFmtId="0" fontId="8" fillId="12" borderId="0" xfId="0" applyFont="1" applyAlignment="1">
      <alignment horizontal="center" vertical="center"/>
    </xf>
    <xf numFmtId="0" fontId="8" fillId="12" borderId="38" xfId="0" applyFont="1" applyBorder="1" applyAlignment="1">
      <alignment horizontal="left" vertical="center"/>
    </xf>
    <xf numFmtId="0" fontId="8" fillId="12" borderId="39" xfId="0" applyFont="1" applyBorder="1" applyAlignment="1">
      <alignment horizontal="left" vertical="center"/>
    </xf>
    <xf numFmtId="0" fontId="8" fillId="12" borderId="40" xfId="0" applyFont="1" applyBorder="1">
      <alignment vertical="center"/>
    </xf>
    <xf numFmtId="0" fontId="8" fillId="9" borderId="41" xfId="0" applyFont="1" applyFill="1" applyBorder="1" applyAlignment="1">
      <alignment horizontal="left" vertical="center" wrapText="1"/>
    </xf>
    <xf numFmtId="0" fontId="8" fillId="12" borderId="42" xfId="0" applyFont="1" applyBorder="1" applyAlignment="1">
      <alignment horizontal="left" vertical="center" wrapText="1"/>
    </xf>
    <xf numFmtId="0" fontId="8" fillId="12" borderId="43" xfId="0" applyFont="1" applyBorder="1" applyAlignment="1">
      <alignment horizontal="left" vertical="center" wrapText="1"/>
    </xf>
    <xf numFmtId="0" fontId="8" fillId="12" borderId="44" xfId="0" applyFont="1" applyBorder="1" applyAlignment="1">
      <alignment horizontal="left" vertical="center" wrapText="1"/>
    </xf>
    <xf numFmtId="0" fontId="8" fillId="12" borderId="45" xfId="0" applyFont="1" applyBorder="1" applyAlignment="1">
      <alignment horizontal="left" vertical="center"/>
    </xf>
    <xf numFmtId="0" fontId="8" fillId="34" borderId="46" xfId="0" applyFont="1" applyFill="1" applyBorder="1" applyAlignment="1">
      <alignment vertical="center" wrapText="1"/>
    </xf>
    <xf numFmtId="0" fontId="8" fillId="12" borderId="40" xfId="0" applyFont="1" applyBorder="1" applyAlignment="1">
      <alignment horizontal="left" vertical="center"/>
    </xf>
    <xf numFmtId="0" fontId="8" fillId="12" borderId="42" xfId="0" applyFont="1" applyBorder="1">
      <alignment vertical="center"/>
    </xf>
    <xf numFmtId="0" fontId="8" fillId="12" borderId="43" xfId="0" applyFont="1" applyBorder="1">
      <alignment vertical="center"/>
    </xf>
    <xf numFmtId="0" fontId="8" fillId="12" borderId="44" xfId="0" applyFont="1" applyBorder="1">
      <alignment vertical="center"/>
    </xf>
    <xf numFmtId="0" fontId="8" fillId="11" borderId="48" xfId="0" applyFont="1" applyFill="1" applyBorder="1">
      <alignment vertical="center"/>
    </xf>
    <xf numFmtId="0" fontId="8" fillId="11" borderId="46" xfId="0" applyFont="1" applyFill="1" applyBorder="1" applyAlignment="1">
      <alignment vertical="center" wrapText="1"/>
    </xf>
    <xf numFmtId="0" fontId="8" fillId="11" borderId="50" xfId="0" applyFont="1" applyFill="1" applyBorder="1" applyAlignment="1">
      <alignment vertical="center" wrapText="1"/>
    </xf>
    <xf numFmtId="0" fontId="8" fillId="12" borderId="3" xfId="0" applyFont="1" applyBorder="1" applyAlignment="1">
      <alignment vertical="center" wrapText="1"/>
    </xf>
    <xf numFmtId="0" fontId="8" fillId="12" borderId="7" xfId="0" applyFont="1" applyBorder="1" applyAlignment="1">
      <alignment vertical="center" wrapText="1"/>
    </xf>
    <xf numFmtId="0" fontId="8" fillId="34" borderId="48" xfId="0" applyFont="1" applyFill="1" applyBorder="1" applyAlignment="1">
      <alignment vertical="center" wrapText="1"/>
    </xf>
    <xf numFmtId="0" fontId="8" fillId="34" borderId="46" xfId="0" applyFont="1" applyFill="1" applyBorder="1" applyAlignment="1">
      <alignment horizontal="left" vertical="center" wrapText="1"/>
    </xf>
    <xf numFmtId="0" fontId="8" fillId="3" borderId="10" xfId="0" applyFont="1" applyFill="1" applyBorder="1" applyAlignment="1">
      <alignment horizontal="right" vertical="center" wrapText="1"/>
    </xf>
    <xf numFmtId="0" fontId="8" fillId="3" borderId="46" xfId="0" applyFont="1" applyFill="1" applyBorder="1" applyAlignment="1">
      <alignment horizontal="left" vertical="center" wrapText="1"/>
    </xf>
    <xf numFmtId="0" fontId="8" fillId="34" borderId="50" xfId="0" applyFont="1" applyFill="1" applyBorder="1" applyAlignment="1">
      <alignment horizontal="left" vertical="center" wrapText="1"/>
    </xf>
    <xf numFmtId="0" fontId="8" fillId="2" borderId="47" xfId="0" applyFont="1" applyFill="1" applyBorder="1" applyAlignment="1">
      <alignment vertical="center" wrapText="1"/>
    </xf>
    <xf numFmtId="0" fontId="8" fillId="2" borderId="48" xfId="0" applyFont="1" applyFill="1" applyBorder="1" applyAlignment="1">
      <alignment vertical="center" wrapText="1"/>
    </xf>
    <xf numFmtId="0" fontId="8" fillId="2" borderId="51" xfId="0" applyFont="1" applyFill="1" applyBorder="1" applyAlignment="1">
      <alignment vertical="center" wrapText="1"/>
    </xf>
    <xf numFmtId="0" fontId="8" fillId="2" borderId="52" xfId="0" applyFont="1" applyFill="1" applyBorder="1" applyAlignment="1">
      <alignment vertical="center" wrapText="1"/>
    </xf>
    <xf numFmtId="0" fontId="8" fillId="2" borderId="46" xfId="0" applyFont="1" applyFill="1" applyBorder="1" applyAlignment="1">
      <alignment vertical="center" wrapText="1"/>
    </xf>
    <xf numFmtId="0" fontId="8" fillId="2" borderId="50" xfId="0" applyFont="1" applyFill="1" applyBorder="1" applyAlignment="1">
      <alignment vertical="center" wrapText="1"/>
    </xf>
    <xf numFmtId="0" fontId="8" fillId="2" borderId="47" xfId="0" applyFont="1" applyFill="1" applyBorder="1" applyAlignment="1">
      <alignment vertical="center" shrinkToFit="1"/>
    </xf>
    <xf numFmtId="49" fontId="8" fillId="2" borderId="51" xfId="0" applyNumberFormat="1" applyFont="1" applyFill="1" applyBorder="1">
      <alignment vertical="center"/>
    </xf>
    <xf numFmtId="0" fontId="8" fillId="2" borderId="52" xfId="0" applyFont="1" applyFill="1" applyBorder="1" applyAlignment="1">
      <alignment vertical="center" shrinkToFit="1"/>
    </xf>
    <xf numFmtId="0" fontId="8" fillId="2" borderId="46" xfId="0" applyFont="1" applyFill="1" applyBorder="1" applyAlignment="1">
      <alignment vertical="center" shrinkToFit="1"/>
    </xf>
    <xf numFmtId="0" fontId="8" fillId="2" borderId="54" xfId="0" applyFont="1" applyFill="1" applyBorder="1" applyAlignment="1">
      <alignment vertical="center" shrinkToFit="1"/>
    </xf>
    <xf numFmtId="49" fontId="8" fillId="2" borderId="35" xfId="0" applyNumberFormat="1" applyFont="1" applyFill="1" applyBorder="1">
      <alignment vertical="center"/>
    </xf>
    <xf numFmtId="0" fontId="8" fillId="34" borderId="54" xfId="0" applyFont="1" applyFill="1" applyBorder="1" applyAlignment="1">
      <alignment vertical="center" wrapText="1"/>
    </xf>
    <xf numFmtId="49" fontId="8" fillId="34" borderId="54" xfId="0" applyNumberFormat="1" applyFont="1" applyFill="1" applyBorder="1" applyAlignment="1">
      <alignment vertical="center" wrapText="1"/>
    </xf>
    <xf numFmtId="0" fontId="8" fillId="2" borderId="54" xfId="0" applyFont="1" applyFill="1" applyBorder="1" applyAlignment="1">
      <alignment vertical="center" wrapText="1"/>
    </xf>
    <xf numFmtId="0" fontId="8" fillId="34" borderId="32" xfId="0" applyFont="1" applyFill="1" applyBorder="1" applyAlignment="1">
      <alignment vertical="center" wrapText="1"/>
    </xf>
    <xf numFmtId="0" fontId="8" fillId="34" borderId="0" xfId="0" applyFont="1" applyFill="1" applyAlignment="1">
      <alignment horizontal="left" vertical="center"/>
    </xf>
    <xf numFmtId="0" fontId="8" fillId="34" borderId="47" xfId="0" applyFont="1" applyFill="1" applyBorder="1">
      <alignment vertical="center"/>
    </xf>
    <xf numFmtId="0" fontId="22" fillId="12" borderId="0" xfId="0" applyFont="1">
      <alignment vertical="center"/>
    </xf>
    <xf numFmtId="49" fontId="8" fillId="9" borderId="1" xfId="0" applyNumberFormat="1" applyFont="1" applyFill="1" applyBorder="1" applyAlignment="1">
      <alignment horizontal="left" vertical="center"/>
    </xf>
    <xf numFmtId="0" fontId="8" fillId="9" borderId="10" xfId="0" applyFont="1" applyFill="1" applyBorder="1">
      <alignment vertical="center"/>
    </xf>
    <xf numFmtId="49" fontId="8" fillId="9" borderId="6" xfId="0" applyNumberFormat="1" applyFont="1" applyFill="1" applyBorder="1" applyAlignment="1">
      <alignment horizontal="left" vertical="center"/>
    </xf>
    <xf numFmtId="49" fontId="8" fillId="9" borderId="48" xfId="0" applyNumberFormat="1" applyFont="1" applyFill="1" applyBorder="1" applyAlignment="1">
      <alignment horizontal="left" vertical="center"/>
    </xf>
    <xf numFmtId="0" fontId="8" fillId="9" borderId="46" xfId="0" applyFont="1" applyFill="1" applyBorder="1">
      <alignment vertical="center"/>
    </xf>
    <xf numFmtId="0" fontId="8" fillId="9" borderId="50" xfId="0" applyFont="1" applyFill="1" applyBorder="1">
      <alignment vertical="center"/>
    </xf>
    <xf numFmtId="0" fontId="8" fillId="36" borderId="15" xfId="0" applyFont="1" applyFill="1" applyBorder="1">
      <alignment vertical="center"/>
    </xf>
    <xf numFmtId="0" fontId="8" fillId="36" borderId="11" xfId="0" applyFont="1" applyFill="1" applyBorder="1">
      <alignment vertical="center"/>
    </xf>
    <xf numFmtId="49" fontId="8" fillId="9" borderId="51" xfId="0" applyNumberFormat="1" applyFont="1" applyFill="1" applyBorder="1" applyAlignment="1">
      <alignment vertical="center" wrapText="1"/>
    </xf>
    <xf numFmtId="49" fontId="8" fillId="9" borderId="52" xfId="0" applyNumberFormat="1" applyFont="1" applyFill="1" applyBorder="1" applyAlignment="1">
      <alignment vertical="center" wrapText="1"/>
    </xf>
    <xf numFmtId="49" fontId="8" fillId="9" borderId="35" xfId="0" applyNumberFormat="1" applyFont="1" applyFill="1" applyBorder="1" applyAlignment="1">
      <alignment vertical="center" wrapText="1"/>
    </xf>
    <xf numFmtId="49" fontId="8" fillId="9" borderId="53" xfId="0" applyNumberFormat="1" applyFont="1" applyFill="1" applyBorder="1" applyAlignment="1">
      <alignment vertical="center" wrapText="1"/>
    </xf>
    <xf numFmtId="0" fontId="8" fillId="9" borderId="51" xfId="0" applyFont="1" applyFill="1" applyBorder="1" applyAlignment="1">
      <alignment vertical="center" wrapText="1"/>
    </xf>
    <xf numFmtId="0" fontId="8" fillId="9" borderId="52" xfId="0" applyFont="1" applyFill="1" applyBorder="1" applyAlignment="1">
      <alignment vertical="center" wrapText="1"/>
    </xf>
    <xf numFmtId="0" fontId="8" fillId="9" borderId="35" xfId="0" applyFont="1" applyFill="1" applyBorder="1" applyAlignment="1">
      <alignment vertical="center" wrapText="1"/>
    </xf>
    <xf numFmtId="0" fontId="8" fillId="9" borderId="53" xfId="0" applyFont="1" applyFill="1" applyBorder="1" applyAlignment="1">
      <alignment vertical="center" wrapText="1"/>
    </xf>
    <xf numFmtId="49" fontId="8" fillId="9" borderId="6" xfId="0" applyNumberFormat="1" applyFont="1" applyFill="1" applyBorder="1">
      <alignment vertical="center"/>
    </xf>
    <xf numFmtId="49" fontId="8" fillId="9" borderId="47" xfId="0" applyNumberFormat="1" applyFont="1" applyFill="1" applyBorder="1" applyAlignment="1">
      <alignment vertical="center" wrapText="1"/>
    </xf>
    <xf numFmtId="0" fontId="8" fillId="9" borderId="6" xfId="0" applyFont="1" applyFill="1" applyBorder="1" applyAlignment="1">
      <alignment vertical="center" wrapText="1"/>
    </xf>
    <xf numFmtId="0" fontId="8" fillId="9" borderId="46" xfId="0" applyFont="1" applyFill="1" applyBorder="1" applyAlignment="1">
      <alignment horizontal="left" vertical="center" wrapText="1"/>
    </xf>
    <xf numFmtId="0" fontId="8" fillId="9" borderId="48" xfId="0" applyFont="1" applyFill="1" applyBorder="1" applyAlignment="1">
      <alignment vertical="center" wrapText="1"/>
    </xf>
    <xf numFmtId="0" fontId="8" fillId="9" borderId="50" xfId="0" applyFont="1" applyFill="1" applyBorder="1" applyAlignment="1">
      <alignment horizontal="right" vertical="center" wrapText="1"/>
    </xf>
    <xf numFmtId="0" fontId="8" fillId="34" borderId="48" xfId="0" applyFont="1" applyFill="1" applyBorder="1">
      <alignment vertical="center"/>
    </xf>
    <xf numFmtId="0" fontId="8" fillId="34" borderId="49" xfId="0" applyFont="1" applyFill="1" applyBorder="1">
      <alignment vertical="center"/>
    </xf>
    <xf numFmtId="0" fontId="8" fillId="34" borderId="3" xfId="0" applyFont="1" applyFill="1" applyBorder="1">
      <alignment vertical="center"/>
    </xf>
    <xf numFmtId="0" fontId="8" fillId="34" borderId="51" xfId="0" applyFont="1" applyFill="1" applyBorder="1">
      <alignment vertical="center"/>
    </xf>
    <xf numFmtId="0" fontId="8" fillId="34" borderId="52" xfId="0" applyFont="1" applyFill="1" applyBorder="1">
      <alignment vertical="center"/>
    </xf>
    <xf numFmtId="0" fontId="8" fillId="34" borderId="46" xfId="0" applyFont="1" applyFill="1" applyBorder="1">
      <alignment vertical="center"/>
    </xf>
    <xf numFmtId="49" fontId="8" fillId="34" borderId="46" xfId="0" applyNumberFormat="1" applyFont="1" applyFill="1" applyBorder="1">
      <alignment vertical="center"/>
    </xf>
    <xf numFmtId="0" fontId="8" fillId="34" borderId="35" xfId="0" applyFont="1" applyFill="1" applyBorder="1">
      <alignment vertical="center"/>
    </xf>
    <xf numFmtId="49" fontId="8" fillId="34" borderId="1" xfId="0" applyNumberFormat="1" applyFont="1" applyFill="1" applyBorder="1" applyAlignment="1">
      <alignment horizontal="left" vertical="center"/>
    </xf>
    <xf numFmtId="0" fontId="8" fillId="34" borderId="48" xfId="0" applyFont="1" applyFill="1" applyBorder="1" applyAlignment="1">
      <alignment horizontal="left" vertical="center"/>
    </xf>
    <xf numFmtId="0" fontId="8" fillId="34" borderId="10" xfId="0" applyFont="1" applyFill="1" applyBorder="1" applyAlignment="1">
      <alignment horizontal="left" vertical="center"/>
    </xf>
    <xf numFmtId="0" fontId="8" fillId="34" borderId="50" xfId="0" applyFont="1" applyFill="1" applyBorder="1">
      <alignment vertical="center"/>
    </xf>
    <xf numFmtId="0" fontId="8" fillId="34" borderId="46" xfId="0" applyFont="1" applyFill="1" applyBorder="1" applyAlignment="1">
      <alignment horizontal="left" vertical="center"/>
    </xf>
    <xf numFmtId="49" fontId="8" fillId="34" borderId="15" xfId="0" applyNumberFormat="1" applyFont="1" applyFill="1" applyBorder="1">
      <alignment vertical="center"/>
    </xf>
    <xf numFmtId="49" fontId="8" fillId="34" borderId="46" xfId="0" applyNumberFormat="1" applyFont="1" applyFill="1" applyBorder="1" applyAlignment="1">
      <alignment horizontal="left" vertical="center"/>
    </xf>
    <xf numFmtId="0" fontId="8" fillId="9" borderId="54" xfId="0" applyFont="1" applyFill="1" applyBorder="1">
      <alignment vertical="center"/>
    </xf>
    <xf numFmtId="0" fontId="8" fillId="12" borderId="55" xfId="0" applyFont="1" applyBorder="1">
      <alignment vertical="center"/>
    </xf>
    <xf numFmtId="0" fontId="8" fillId="12" borderId="17" xfId="0" applyFont="1" applyBorder="1">
      <alignment vertical="center"/>
    </xf>
    <xf numFmtId="0" fontId="8" fillId="12" borderId="19" xfId="0" applyFont="1" applyBorder="1">
      <alignment vertical="center"/>
    </xf>
    <xf numFmtId="0" fontId="8" fillId="12" borderId="56" xfId="0" applyFont="1" applyBorder="1" applyAlignment="1">
      <alignment horizontal="center" vertical="center"/>
    </xf>
    <xf numFmtId="0" fontId="8" fillId="12" borderId="49" xfId="0" applyFont="1" applyBorder="1">
      <alignment vertical="center"/>
    </xf>
    <xf numFmtId="0" fontId="8" fillId="12" borderId="48" xfId="0" applyFont="1" applyBorder="1">
      <alignment vertical="center"/>
    </xf>
    <xf numFmtId="0" fontId="8" fillId="34" borderId="57" xfId="0" applyFont="1" applyFill="1" applyBorder="1">
      <alignment vertical="center"/>
    </xf>
    <xf numFmtId="0" fontId="8" fillId="34" borderId="58" xfId="0" applyFont="1" applyFill="1" applyBorder="1">
      <alignment vertical="center"/>
    </xf>
    <xf numFmtId="185" fontId="8" fillId="12" borderId="0" xfId="0" applyNumberFormat="1" applyFont="1">
      <alignment vertical="center"/>
    </xf>
    <xf numFmtId="0" fontId="8" fillId="34" borderId="59" xfId="0" applyFont="1" applyFill="1" applyBorder="1">
      <alignment vertical="center"/>
    </xf>
    <xf numFmtId="49" fontId="8" fillId="34" borderId="51" xfId="0" applyNumberFormat="1" applyFont="1" applyFill="1" applyBorder="1">
      <alignment vertical="center"/>
    </xf>
    <xf numFmtId="49" fontId="8" fillId="34" borderId="6" xfId="0" applyNumberFormat="1" applyFont="1" applyFill="1" applyBorder="1">
      <alignment vertical="center"/>
    </xf>
    <xf numFmtId="49" fontId="8" fillId="34" borderId="35" xfId="0" applyNumberFormat="1" applyFont="1" applyFill="1" applyBorder="1">
      <alignment vertical="center"/>
    </xf>
    <xf numFmtId="49" fontId="8" fillId="34" borderId="48" xfId="0" applyNumberFormat="1" applyFont="1" applyFill="1" applyBorder="1">
      <alignment vertical="center"/>
    </xf>
    <xf numFmtId="0" fontId="10" fillId="34" borderId="0" xfId="0" applyFont="1" applyFill="1">
      <alignment vertical="center"/>
    </xf>
    <xf numFmtId="0" fontId="10" fillId="35" borderId="0" xfId="0" applyFont="1" applyFill="1">
      <alignment vertical="center"/>
    </xf>
    <xf numFmtId="49" fontId="8" fillId="2" borderId="48" xfId="0" applyNumberFormat="1" applyFont="1" applyFill="1" applyBorder="1" applyAlignment="1">
      <alignment vertical="center" shrinkToFit="1"/>
    </xf>
    <xf numFmtId="0" fontId="8" fillId="2" borderId="57" xfId="0" applyFont="1" applyFill="1" applyBorder="1" applyAlignment="1">
      <alignment vertical="center" wrapText="1"/>
    </xf>
    <xf numFmtId="186" fontId="8" fillId="12" borderId="0" xfId="0" applyNumberFormat="1" applyFont="1" applyAlignment="1">
      <alignment horizontal="center" vertical="center"/>
    </xf>
    <xf numFmtId="0" fontId="8" fillId="11" borderId="54" xfId="0" applyFont="1" applyFill="1" applyBorder="1" applyAlignment="1">
      <alignment vertical="center" wrapText="1"/>
    </xf>
    <xf numFmtId="178" fontId="8" fillId="12" borderId="0" xfId="0" applyNumberFormat="1" applyFont="1" applyAlignment="1">
      <alignment horizontal="left" vertical="center"/>
    </xf>
    <xf numFmtId="49" fontId="8" fillId="11" borderId="6" xfId="0" applyNumberFormat="1" applyFont="1" applyFill="1" applyBorder="1" applyAlignment="1">
      <alignment vertical="center" wrapText="1"/>
    </xf>
    <xf numFmtId="0" fontId="41" fillId="0" borderId="0" xfId="65" applyFont="1" applyProtection="1">
      <alignment vertical="center"/>
      <protection locked="0"/>
    </xf>
    <xf numFmtId="49" fontId="41" fillId="0" borderId="0" xfId="65" applyNumberFormat="1" applyFont="1" applyProtection="1">
      <alignment vertical="center"/>
      <protection locked="0"/>
    </xf>
    <xf numFmtId="0" fontId="8" fillId="2" borderId="49" xfId="0" applyFont="1" applyFill="1" applyBorder="1" applyAlignment="1">
      <alignment vertical="center" shrinkToFit="1"/>
    </xf>
    <xf numFmtId="49" fontId="8" fillId="34" borderId="51" xfId="0" applyNumberFormat="1" applyFont="1" applyFill="1" applyBorder="1" applyAlignment="1">
      <alignment horizontal="left" vertical="center"/>
    </xf>
    <xf numFmtId="49" fontId="8" fillId="34" borderId="52" xfId="0" applyNumberFormat="1" applyFont="1" applyFill="1" applyBorder="1" applyAlignment="1">
      <alignment horizontal="left" vertical="center"/>
    </xf>
    <xf numFmtId="0" fontId="40" fillId="34" borderId="48" xfId="0" applyFont="1" applyFill="1" applyBorder="1">
      <alignment vertical="center"/>
    </xf>
    <xf numFmtId="0" fontId="8" fillId="36" borderId="6" xfId="0" applyFont="1" applyFill="1" applyBorder="1" applyAlignment="1">
      <alignment vertical="center" wrapText="1"/>
    </xf>
    <xf numFmtId="0" fontId="8" fillId="36" borderId="47" xfId="0" applyFont="1" applyFill="1" applyBorder="1" applyAlignment="1">
      <alignment vertical="center" wrapText="1"/>
    </xf>
    <xf numFmtId="0" fontId="8" fillId="12" borderId="6" xfId="0" applyFont="1" applyBorder="1" applyAlignment="1">
      <alignment vertical="center" wrapText="1"/>
    </xf>
    <xf numFmtId="0" fontId="8" fillId="12" borderId="47" xfId="0" applyFont="1" applyBorder="1" applyAlignment="1">
      <alignment vertical="center" wrapText="1"/>
    </xf>
    <xf numFmtId="0" fontId="0" fillId="12" borderId="0" xfId="0" applyAlignment="1">
      <alignment horizontal="left" vertical="center"/>
    </xf>
    <xf numFmtId="0" fontId="8" fillId="34" borderId="60" xfId="0" applyFont="1" applyFill="1" applyBorder="1" applyAlignment="1">
      <alignment vertical="center" wrapText="1"/>
    </xf>
    <xf numFmtId="0" fontId="8" fillId="34" borderId="47" xfId="0" applyFont="1" applyFill="1" applyBorder="1" applyAlignment="1">
      <alignment horizontal="left" vertical="center" wrapText="1"/>
    </xf>
    <xf numFmtId="176" fontId="0" fillId="12" borderId="0" xfId="0" applyNumberFormat="1" applyAlignment="1">
      <alignment horizontal="left" vertical="center"/>
    </xf>
    <xf numFmtId="0" fontId="8" fillId="2" borderId="60" xfId="0" applyFont="1" applyFill="1" applyBorder="1" applyAlignment="1">
      <alignment vertical="center" wrapText="1"/>
    </xf>
    <xf numFmtId="0" fontId="8" fillId="9" borderId="2" xfId="0" applyFont="1" applyFill="1" applyBorder="1" applyAlignment="1">
      <alignment vertical="center" wrapText="1"/>
    </xf>
    <xf numFmtId="0" fontId="8" fillId="9" borderId="4" xfId="0" applyFont="1" applyFill="1" applyBorder="1" applyAlignment="1">
      <alignment vertical="center" wrapText="1"/>
    </xf>
    <xf numFmtId="0" fontId="8" fillId="34" borderId="60" xfId="0" applyFont="1" applyFill="1" applyBorder="1">
      <alignment vertical="center"/>
    </xf>
    <xf numFmtId="0" fontId="8" fillId="34" borderId="4" xfId="0" applyFont="1" applyFill="1" applyBorder="1">
      <alignment vertical="center"/>
    </xf>
    <xf numFmtId="0" fontId="8" fillId="34" borderId="2" xfId="0" applyFont="1" applyFill="1" applyBorder="1" applyAlignment="1">
      <alignment vertical="center" wrapText="1"/>
    </xf>
    <xf numFmtId="49" fontId="8" fillId="9" borderId="60" xfId="0" applyNumberFormat="1" applyFont="1" applyFill="1" applyBorder="1">
      <alignment vertical="center"/>
    </xf>
    <xf numFmtId="0" fontId="8" fillId="9" borderId="4" xfId="0" applyFont="1" applyFill="1" applyBorder="1">
      <alignment vertical="center"/>
    </xf>
    <xf numFmtId="0" fontId="8" fillId="9" borderId="7" xfId="0" applyFont="1" applyFill="1" applyBorder="1" applyAlignment="1">
      <alignment vertical="center" wrapText="1"/>
    </xf>
    <xf numFmtId="0" fontId="8" fillId="34" borderId="61" xfId="0" applyFont="1" applyFill="1" applyBorder="1" applyAlignment="1">
      <alignment horizontal="left" vertical="center" wrapText="1"/>
    </xf>
    <xf numFmtId="0" fontId="8" fillId="9" borderId="60" xfId="0" applyFont="1" applyFill="1" applyBorder="1">
      <alignment vertical="center"/>
    </xf>
    <xf numFmtId="0" fontId="8" fillId="9" borderId="47" xfId="0" applyFont="1" applyFill="1" applyBorder="1" applyAlignment="1">
      <alignment vertical="center" wrapText="1"/>
    </xf>
    <xf numFmtId="49" fontId="8" fillId="34" borderId="60" xfId="0" applyNumberFormat="1" applyFont="1" applyFill="1" applyBorder="1" applyAlignment="1">
      <alignment horizontal="left" vertical="center"/>
    </xf>
    <xf numFmtId="0" fontId="8" fillId="9" borderId="60" xfId="0" applyFont="1" applyFill="1" applyBorder="1" applyAlignment="1">
      <alignment vertical="center" wrapText="1"/>
    </xf>
    <xf numFmtId="0" fontId="8" fillId="9" borderId="54" xfId="0" applyFont="1" applyFill="1" applyBorder="1" applyAlignment="1">
      <alignment horizontal="left" vertical="center" wrapText="1"/>
    </xf>
    <xf numFmtId="180" fontId="8" fillId="34" borderId="0" xfId="0" applyNumberFormat="1" applyFont="1" applyFill="1" applyAlignment="1">
      <alignment horizontal="left" vertical="center"/>
    </xf>
    <xf numFmtId="49" fontId="8" fillId="34" borderId="0" xfId="0" applyNumberFormat="1" applyFont="1" applyFill="1" applyAlignment="1">
      <alignment horizontal="left" vertical="center"/>
    </xf>
    <xf numFmtId="49" fontId="8" fillId="34" borderId="0" xfId="0" applyNumberFormat="1" applyFont="1" applyFill="1">
      <alignment vertical="center"/>
    </xf>
    <xf numFmtId="176" fontId="8" fillId="34" borderId="0" xfId="0" applyNumberFormat="1" applyFont="1" applyFill="1" applyAlignment="1">
      <alignment horizontal="left" vertical="center"/>
    </xf>
    <xf numFmtId="0" fontId="8" fillId="9" borderId="0" xfId="0" applyFont="1" applyFill="1" applyAlignment="1">
      <alignment horizontal="left" vertical="center"/>
    </xf>
    <xf numFmtId="0" fontId="0" fillId="9" borderId="0" xfId="0" applyFill="1" applyAlignment="1">
      <alignment horizontal="left" vertical="center"/>
    </xf>
    <xf numFmtId="180" fontId="8" fillId="9" borderId="0" xfId="0" applyNumberFormat="1" applyFont="1" applyFill="1" applyAlignment="1">
      <alignment horizontal="left" vertical="center"/>
    </xf>
    <xf numFmtId="0" fontId="8" fillId="11" borderId="0" xfId="0" applyFont="1" applyFill="1" applyAlignment="1">
      <alignment horizontal="left" vertical="center"/>
    </xf>
    <xf numFmtId="0" fontId="8" fillId="34" borderId="0" xfId="0" applyFont="1" applyFill="1" applyAlignment="1">
      <alignment horizontal="left" vertical="center" wrapText="1"/>
    </xf>
    <xf numFmtId="49" fontId="8" fillId="11" borderId="0" xfId="0" applyNumberFormat="1" applyFont="1" applyFill="1" applyAlignment="1">
      <alignment horizontal="left" vertical="center"/>
    </xf>
    <xf numFmtId="49" fontId="41" fillId="34" borderId="0" xfId="65" applyNumberFormat="1" applyFont="1" applyFill="1" applyProtection="1">
      <alignment vertical="center"/>
      <protection locked="0"/>
    </xf>
    <xf numFmtId="49" fontId="20" fillId="34" borderId="0" xfId="65" applyNumberFormat="1" applyFont="1" applyFill="1" applyProtection="1">
      <alignment vertical="center"/>
      <protection locked="0"/>
    </xf>
    <xf numFmtId="0" fontId="40" fillId="34" borderId="0" xfId="0" applyFont="1" applyFill="1">
      <alignment vertical="center"/>
    </xf>
    <xf numFmtId="0" fontId="41" fillId="34" borderId="0" xfId="65" applyFont="1" applyFill="1" applyProtection="1">
      <alignment vertical="center"/>
      <protection locked="0"/>
    </xf>
    <xf numFmtId="49" fontId="8" fillId="34" borderId="0" xfId="0" applyNumberFormat="1" applyFont="1" applyFill="1" applyAlignment="1">
      <alignment horizontal="left" vertical="top"/>
    </xf>
    <xf numFmtId="0" fontId="8" fillId="34" borderId="0" xfId="0" applyFont="1" applyFill="1" applyAlignment="1">
      <alignment horizontal="left" vertical="top"/>
    </xf>
    <xf numFmtId="178" fontId="8" fillId="11" borderId="0" xfId="0" applyNumberFormat="1" applyFont="1" applyFill="1" applyAlignment="1">
      <alignment horizontal="left" vertical="center"/>
    </xf>
    <xf numFmtId="179" fontId="8" fillId="11" borderId="0" xfId="0" applyNumberFormat="1" applyFont="1" applyFill="1" applyAlignment="1">
      <alignment horizontal="left" vertical="center"/>
    </xf>
    <xf numFmtId="178" fontId="8" fillId="34" borderId="0" xfId="0" applyNumberFormat="1" applyFont="1" applyFill="1" applyAlignment="1">
      <alignment horizontal="left" vertical="center"/>
    </xf>
    <xf numFmtId="177" fontId="8" fillId="34" borderId="0" xfId="0" applyNumberFormat="1" applyFont="1" applyFill="1" applyAlignment="1">
      <alignment horizontal="left" vertical="center"/>
    </xf>
    <xf numFmtId="181" fontId="8" fillId="34" borderId="0" xfId="0" applyNumberFormat="1" applyFont="1" applyFill="1" applyAlignment="1">
      <alignment horizontal="left" vertical="center"/>
    </xf>
    <xf numFmtId="187" fontId="8" fillId="34" borderId="0" xfId="0" applyNumberFormat="1" applyFont="1" applyFill="1" applyAlignment="1">
      <alignment horizontal="left" vertical="center"/>
    </xf>
    <xf numFmtId="185" fontId="8" fillId="34" borderId="0" xfId="0" applyNumberFormat="1" applyFont="1" applyFill="1">
      <alignment vertical="center"/>
    </xf>
    <xf numFmtId="177" fontId="8" fillId="34" borderId="0" xfId="0" applyNumberFormat="1" applyFont="1" applyFill="1">
      <alignment vertical="center"/>
    </xf>
    <xf numFmtId="187" fontId="8" fillId="34" borderId="0" xfId="0" applyNumberFormat="1" applyFont="1" applyFill="1">
      <alignment vertical="center"/>
    </xf>
    <xf numFmtId="187" fontId="8" fillId="8" borderId="0" xfId="0" applyNumberFormat="1" applyFont="1" applyFill="1" applyAlignment="1">
      <alignment horizontal="left" vertical="center"/>
    </xf>
    <xf numFmtId="49" fontId="8" fillId="2" borderId="60" xfId="0" applyNumberFormat="1" applyFont="1" applyFill="1" applyBorder="1" applyAlignment="1">
      <alignment vertical="center" shrinkToFit="1"/>
    </xf>
    <xf numFmtId="0" fontId="8" fillId="2" borderId="34" xfId="0" applyFont="1" applyFill="1" applyBorder="1" applyAlignment="1">
      <alignment vertical="center" shrinkToFit="1"/>
    </xf>
    <xf numFmtId="0" fontId="8" fillId="2" borderId="16" xfId="0" applyFont="1" applyFill="1" applyBorder="1" applyAlignment="1">
      <alignment vertical="center" shrinkToFit="1"/>
    </xf>
    <xf numFmtId="0" fontId="15" fillId="12" borderId="21" xfId="0" applyFont="1" applyBorder="1">
      <alignment vertical="center"/>
    </xf>
    <xf numFmtId="0" fontId="15" fillId="3" borderId="0" xfId="0" applyFont="1" applyFill="1" applyAlignment="1" applyProtection="1">
      <alignment horizontal="right" vertical="center"/>
      <protection locked="0" hidden="1"/>
    </xf>
    <xf numFmtId="0" fontId="15" fillId="3" borderId="21" xfId="0" applyFont="1" applyFill="1" applyBorder="1" applyAlignment="1" applyProtection="1">
      <alignment horizontal="right" vertical="center"/>
      <protection locked="0" hidden="1"/>
    </xf>
    <xf numFmtId="0" fontId="18" fillId="0" borderId="0" xfId="129" applyFont="1">
      <alignment vertical="center"/>
    </xf>
    <xf numFmtId="0" fontId="18" fillId="0" borderId="0" xfId="129" applyFont="1" applyAlignment="1">
      <alignment horizontal="left" vertical="center"/>
    </xf>
    <xf numFmtId="0" fontId="14" fillId="12" borderId="0" xfId="0" applyFont="1">
      <alignment vertical="center"/>
    </xf>
    <xf numFmtId="182" fontId="13" fillId="3" borderId="0" xfId="0" applyNumberFormat="1" applyFont="1" applyFill="1" applyAlignment="1" applyProtection="1">
      <alignment horizontal="center" vertical="center" shrinkToFit="1"/>
      <protection locked="0" hidden="1"/>
    </xf>
    <xf numFmtId="183" fontId="13" fillId="3" borderId="0" xfId="0" applyNumberFormat="1" applyFont="1" applyFill="1" applyAlignment="1" applyProtection="1">
      <alignment horizontal="center" vertical="center" shrinkToFit="1"/>
      <protection locked="0" hidden="1"/>
    </xf>
    <xf numFmtId="182" fontId="15" fillId="3" borderId="0" xfId="0" applyNumberFormat="1" applyFont="1" applyFill="1" applyAlignment="1" applyProtection="1">
      <alignment horizontal="center" vertical="center" shrinkToFit="1"/>
      <protection locked="0"/>
    </xf>
    <xf numFmtId="183" fontId="15" fillId="3" borderId="0" xfId="0" applyNumberFormat="1" applyFont="1" applyFill="1" applyAlignment="1" applyProtection="1">
      <alignment horizontal="center" vertical="center" shrinkToFit="1"/>
      <protection locked="0"/>
    </xf>
    <xf numFmtId="184" fontId="15" fillId="3" borderId="0" xfId="0" applyNumberFormat="1" applyFont="1" applyFill="1" applyAlignment="1" applyProtection="1">
      <alignment horizontal="center" vertical="center" shrinkToFit="1"/>
      <protection locked="0"/>
    </xf>
    <xf numFmtId="184" fontId="13" fillId="3" borderId="0" xfId="0" applyNumberFormat="1" applyFont="1" applyFill="1" applyAlignment="1" applyProtection="1">
      <alignment horizontal="center" vertical="center" shrinkToFit="1"/>
      <protection locked="0" hidden="1"/>
    </xf>
    <xf numFmtId="0" fontId="8" fillId="11" borderId="60" xfId="0" applyFont="1" applyFill="1" applyBorder="1">
      <alignment vertical="center"/>
    </xf>
    <xf numFmtId="0" fontId="8" fillId="11" borderId="54" xfId="0" applyFont="1" applyFill="1" applyBorder="1">
      <alignment vertical="center"/>
    </xf>
    <xf numFmtId="0" fontId="8" fillId="11" borderId="60" xfId="0" applyFont="1" applyFill="1" applyBorder="1" applyAlignment="1">
      <alignment vertical="center" wrapText="1"/>
    </xf>
    <xf numFmtId="0" fontId="8" fillId="34" borderId="31" xfId="0" applyFont="1" applyFill="1" applyBorder="1">
      <alignment vertical="center"/>
    </xf>
    <xf numFmtId="49" fontId="8" fillId="2" borderId="57" xfId="0" applyNumberFormat="1" applyFont="1" applyFill="1" applyBorder="1" applyAlignment="1">
      <alignment vertical="center" wrapText="1"/>
    </xf>
    <xf numFmtId="0" fontId="8" fillId="34" borderId="57" xfId="0" applyFont="1" applyFill="1" applyBorder="1" applyAlignment="1">
      <alignment vertical="center" wrapText="1"/>
    </xf>
    <xf numFmtId="0" fontId="14" fillId="12" borderId="21" xfId="0" applyFont="1" applyBorder="1">
      <alignment vertical="center"/>
    </xf>
    <xf numFmtId="0" fontId="14" fillId="12" borderId="0" xfId="0" applyFont="1" applyAlignment="1"/>
    <xf numFmtId="0" fontId="8" fillId="11" borderId="62" xfId="0" applyFont="1" applyFill="1" applyBorder="1">
      <alignment vertical="center"/>
    </xf>
    <xf numFmtId="0" fontId="8" fillId="11" borderId="63" xfId="0" applyFont="1" applyFill="1" applyBorder="1">
      <alignment vertical="center"/>
    </xf>
    <xf numFmtId="0" fontId="8" fillId="11" borderId="37" xfId="0" applyFont="1" applyFill="1" applyBorder="1">
      <alignment vertical="center"/>
    </xf>
    <xf numFmtId="0" fontId="8" fillId="11" borderId="16" xfId="0" applyFont="1" applyFill="1" applyBorder="1" applyAlignment="1">
      <alignment vertical="center" wrapText="1"/>
    </xf>
    <xf numFmtId="0" fontId="8" fillId="11" borderId="57" xfId="0" applyFont="1" applyFill="1" applyBorder="1" applyAlignment="1">
      <alignment vertical="center" wrapText="1"/>
    </xf>
    <xf numFmtId="0" fontId="15" fillId="12" borderId="0" xfId="0" applyFont="1" applyAlignment="1">
      <alignment horizontal="right" vertical="center"/>
    </xf>
    <xf numFmtId="0" fontId="15" fillId="12" borderId="0" xfId="0" applyFont="1" applyAlignment="1">
      <alignment horizontal="left" vertical="center"/>
    </xf>
    <xf numFmtId="0" fontId="15" fillId="12" borderId="21" xfId="0" applyFont="1" applyBorder="1" applyAlignment="1">
      <alignment horizontal="right" vertical="center"/>
    </xf>
    <xf numFmtId="0" fontId="18" fillId="0" borderId="0" xfId="129" applyFont="1" applyAlignment="1">
      <alignment horizontal="center" vertical="center"/>
    </xf>
    <xf numFmtId="189" fontId="18" fillId="0" borderId="0" xfId="129" applyNumberFormat="1" applyFont="1">
      <alignment vertical="center"/>
    </xf>
    <xf numFmtId="190" fontId="18" fillId="0" borderId="0" xfId="129" applyNumberFormat="1" applyFont="1" applyAlignment="1">
      <alignment horizontal="left" vertical="center"/>
    </xf>
    <xf numFmtId="0" fontId="11" fillId="4" borderId="66" xfId="0" applyFont="1" applyFill="1" applyBorder="1" applyAlignment="1" applyProtection="1">
      <alignment horizontal="center" vertical="center"/>
      <protection locked="0" hidden="1"/>
    </xf>
    <xf numFmtId="0" fontId="12" fillId="5" borderId="66" xfId="0" applyFont="1" applyFill="1" applyBorder="1" applyAlignment="1" applyProtection="1">
      <alignment horizontal="right" vertical="center"/>
      <protection locked="0" hidden="1"/>
    </xf>
    <xf numFmtId="0" fontId="12" fillId="3" borderId="66" xfId="0" applyFont="1" applyFill="1" applyBorder="1" applyProtection="1">
      <alignment vertical="center"/>
      <protection locked="0" hidden="1"/>
    </xf>
    <xf numFmtId="0" fontId="15" fillId="12" borderId="65" xfId="0" applyFont="1" applyBorder="1">
      <alignment vertical="center"/>
    </xf>
    <xf numFmtId="0" fontId="15" fillId="3" borderId="65" xfId="0" applyFont="1" applyFill="1" applyBorder="1" applyAlignment="1" applyProtection="1">
      <alignment horizontal="right" vertical="center"/>
      <protection locked="0" hidden="1"/>
    </xf>
    <xf numFmtId="0" fontId="18" fillId="8" borderId="0" xfId="129" applyFont="1" applyFill="1" applyAlignment="1">
      <alignment horizontal="center" vertical="center"/>
    </xf>
    <xf numFmtId="0" fontId="18" fillId="9" borderId="0" xfId="129" applyFont="1" applyFill="1">
      <alignment vertical="center"/>
    </xf>
    <xf numFmtId="0" fontId="18" fillId="37" borderId="0" xfId="129" applyFont="1" applyFill="1" applyAlignment="1">
      <alignment horizontal="center" vertical="center"/>
    </xf>
    <xf numFmtId="0" fontId="15" fillId="5" borderId="0" xfId="0" applyFont="1" applyFill="1" applyAlignment="1" applyProtection="1">
      <alignment horizontal="center" vertical="center"/>
      <protection locked="0" hidden="1"/>
    </xf>
    <xf numFmtId="0" fontId="15" fillId="5" borderId="21" xfId="0" applyFont="1" applyFill="1" applyBorder="1" applyAlignment="1" applyProtection="1">
      <alignment horizontal="center" vertical="center"/>
      <protection locked="0" hidden="1"/>
    </xf>
    <xf numFmtId="0" fontId="15" fillId="12" borderId="0" xfId="0" applyFont="1">
      <alignment vertical="center"/>
    </xf>
    <xf numFmtId="0" fontId="15" fillId="12" borderId="0" xfId="0" applyFont="1" applyAlignment="1">
      <alignment horizontal="center" vertical="center"/>
    </xf>
    <xf numFmtId="182" fontId="15" fillId="3" borderId="0" xfId="0" applyNumberFormat="1" applyFont="1" applyFill="1" applyAlignment="1" applyProtection="1">
      <alignment horizontal="center" vertical="center" shrinkToFit="1"/>
      <protection locked="0" hidden="1"/>
    </xf>
    <xf numFmtId="183" fontId="15" fillId="3" borderId="0" xfId="0" applyNumberFormat="1" applyFont="1" applyFill="1" applyAlignment="1" applyProtection="1">
      <alignment horizontal="center" vertical="center" shrinkToFit="1"/>
      <protection locked="0" hidden="1"/>
    </xf>
    <xf numFmtId="184" fontId="15" fillId="3" borderId="0" xfId="0" applyNumberFormat="1" applyFont="1" applyFill="1" applyAlignment="1" applyProtection="1">
      <alignment horizontal="center" vertical="center" shrinkToFit="1"/>
      <protection locked="0" hidden="1"/>
    </xf>
    <xf numFmtId="182" fontId="15" fillId="3" borderId="21" xfId="0" applyNumberFormat="1" applyFont="1" applyFill="1" applyBorder="1" applyAlignment="1" applyProtection="1">
      <alignment horizontal="center" vertical="center" shrinkToFit="1"/>
      <protection locked="0" hidden="1"/>
    </xf>
    <xf numFmtId="183" fontId="15" fillId="3" borderId="21" xfId="0" applyNumberFormat="1" applyFont="1" applyFill="1" applyBorder="1" applyAlignment="1" applyProtection="1">
      <alignment horizontal="center" vertical="center" shrinkToFit="1"/>
      <protection locked="0" hidden="1"/>
    </xf>
    <xf numFmtId="184" fontId="15" fillId="3" borderId="21" xfId="0" applyNumberFormat="1" applyFont="1" applyFill="1" applyBorder="1" applyAlignment="1" applyProtection="1">
      <alignment horizontal="center" vertical="center" shrinkToFit="1"/>
      <protection locked="0" hidden="1"/>
    </xf>
    <xf numFmtId="0" fontId="19" fillId="0" borderId="0" xfId="106" applyFont="1">
      <alignment vertical="center"/>
    </xf>
    <xf numFmtId="0" fontId="19" fillId="0" borderId="67" xfId="106" applyFont="1" applyBorder="1">
      <alignment vertical="center"/>
    </xf>
    <xf numFmtId="0" fontId="19" fillId="0" borderId="68" xfId="106" applyFont="1" applyBorder="1">
      <alignment vertical="center"/>
    </xf>
    <xf numFmtId="0" fontId="19" fillId="0" borderId="69" xfId="106" applyFont="1" applyBorder="1">
      <alignment vertical="center"/>
    </xf>
    <xf numFmtId="0" fontId="19" fillId="0" borderId="70" xfId="106" applyFont="1" applyBorder="1">
      <alignment vertical="center"/>
    </xf>
    <xf numFmtId="0" fontId="19" fillId="0" borderId="71" xfId="106" applyFont="1" applyBorder="1">
      <alignment vertical="center"/>
    </xf>
    <xf numFmtId="0" fontId="19" fillId="0" borderId="72" xfId="106" applyFont="1" applyBorder="1">
      <alignment vertical="center"/>
    </xf>
    <xf numFmtId="0" fontId="19" fillId="0" borderId="59" xfId="106" applyFont="1" applyBorder="1">
      <alignment vertical="center"/>
    </xf>
    <xf numFmtId="0" fontId="19" fillId="0" borderId="73" xfId="106" applyFont="1" applyBorder="1">
      <alignment vertical="center"/>
    </xf>
    <xf numFmtId="0" fontId="19" fillId="0" borderId="74" xfId="106" applyFont="1" applyBorder="1">
      <alignment vertical="center"/>
    </xf>
    <xf numFmtId="0" fontId="19" fillId="0" borderId="75" xfId="106" applyFont="1" applyBorder="1">
      <alignment vertical="center"/>
    </xf>
    <xf numFmtId="0" fontId="19" fillId="0" borderId="11" xfId="106" applyFont="1" applyBorder="1">
      <alignment vertical="center"/>
    </xf>
    <xf numFmtId="0" fontId="19" fillId="0" borderId="76" xfId="106" applyFont="1" applyBorder="1">
      <alignment vertical="center"/>
    </xf>
    <xf numFmtId="0" fontId="19" fillId="0" borderId="77" xfId="106" applyFont="1" applyBorder="1" applyAlignment="1">
      <alignment horizontal="centerContinuous" vertical="center"/>
    </xf>
    <xf numFmtId="0" fontId="19" fillId="0" borderId="78" xfId="106" applyFont="1" applyBorder="1" applyAlignment="1">
      <alignment horizontal="centerContinuous" vertical="center"/>
    </xf>
    <xf numFmtId="0" fontId="19" fillId="0" borderId="7" xfId="106" applyFont="1" applyBorder="1" applyAlignment="1">
      <alignment horizontal="centerContinuous" vertical="center"/>
    </xf>
    <xf numFmtId="0" fontId="19" fillId="0" borderId="79" xfId="106" applyFont="1" applyBorder="1" applyAlignment="1">
      <alignment horizontal="centerContinuous" vertical="center"/>
    </xf>
    <xf numFmtId="0" fontId="19" fillId="0" borderId="7" xfId="106" applyFont="1" applyBorder="1">
      <alignment vertical="center"/>
    </xf>
    <xf numFmtId="0" fontId="19" fillId="0" borderId="78" xfId="106" applyFont="1" applyBorder="1">
      <alignment vertical="center"/>
    </xf>
    <xf numFmtId="0" fontId="19" fillId="0" borderId="49" xfId="106" applyFont="1" applyBorder="1">
      <alignment vertical="center"/>
    </xf>
    <xf numFmtId="0" fontId="19" fillId="0" borderId="21" xfId="106" applyFont="1" applyBorder="1">
      <alignment vertical="center"/>
    </xf>
    <xf numFmtId="0" fontId="19" fillId="0" borderId="47" xfId="106" applyFont="1" applyBorder="1">
      <alignment vertical="center"/>
    </xf>
    <xf numFmtId="0" fontId="45" fillId="0" borderId="0" xfId="106" applyFont="1" applyAlignment="1">
      <alignment horizontal="left" vertical="center" indent="1"/>
    </xf>
    <xf numFmtId="0" fontId="19" fillId="0" borderId="0" xfId="106" applyFont="1" applyAlignment="1">
      <alignment horizontal="centerContinuous" vertical="center"/>
    </xf>
    <xf numFmtId="0" fontId="18" fillId="0" borderId="0" xfId="106" applyFont="1" applyAlignment="1">
      <alignment horizontal="centerContinuous" vertical="center"/>
    </xf>
    <xf numFmtId="0" fontId="46" fillId="0" borderId="0" xfId="106" applyFont="1" applyAlignment="1">
      <alignment horizontal="centerContinuous" vertical="center"/>
    </xf>
    <xf numFmtId="0" fontId="19" fillId="0" borderId="91" xfId="106" applyFont="1" applyBorder="1">
      <alignment vertical="center"/>
    </xf>
    <xf numFmtId="0" fontId="19" fillId="0" borderId="92" xfId="106" applyFont="1" applyBorder="1">
      <alignment vertical="center"/>
    </xf>
    <xf numFmtId="0" fontId="19" fillId="0" borderId="93" xfId="106" applyFont="1" applyBorder="1">
      <alignment vertical="center"/>
    </xf>
    <xf numFmtId="0" fontId="19" fillId="0" borderId="94" xfId="106" applyFont="1" applyBorder="1">
      <alignment vertical="center"/>
    </xf>
    <xf numFmtId="0" fontId="19" fillId="0" borderId="15" xfId="106" applyFont="1" applyBorder="1">
      <alignment vertical="center"/>
    </xf>
    <xf numFmtId="0" fontId="19" fillId="0" borderId="3" xfId="106" applyFont="1" applyBorder="1" applyAlignment="1">
      <alignment horizontal="centerContinuous" vertical="center"/>
    </xf>
    <xf numFmtId="49" fontId="19" fillId="9" borderId="0" xfId="106" applyNumberFormat="1" applyFont="1" applyFill="1" applyAlignment="1">
      <alignment horizontal="center" vertical="center"/>
    </xf>
    <xf numFmtId="0" fontId="19" fillId="9" borderId="0" xfId="106" applyFont="1" applyFill="1">
      <alignment vertical="center"/>
    </xf>
    <xf numFmtId="0" fontId="19" fillId="9" borderId="0" xfId="106" applyFont="1" applyFill="1" applyAlignment="1">
      <alignment vertical="center" shrinkToFit="1"/>
    </xf>
    <xf numFmtId="0" fontId="19" fillId="9" borderId="1" xfId="106" applyFont="1" applyFill="1" applyBorder="1" applyAlignment="1">
      <alignment vertical="center" shrinkToFit="1"/>
    </xf>
    <xf numFmtId="0" fontId="19" fillId="9" borderId="83" xfId="106" applyFont="1" applyFill="1" applyBorder="1" applyAlignment="1">
      <alignment vertical="center" shrinkToFit="1"/>
    </xf>
    <xf numFmtId="0" fontId="19" fillId="9" borderId="85" xfId="106" applyFont="1" applyFill="1" applyBorder="1" applyAlignment="1">
      <alignment vertical="center" shrinkToFit="1"/>
    </xf>
    <xf numFmtId="0" fontId="19" fillId="9" borderId="60" xfId="106" applyFont="1" applyFill="1" applyBorder="1" applyAlignment="1">
      <alignment vertical="center" shrinkToFit="1"/>
    </xf>
    <xf numFmtId="0" fontId="19" fillId="9" borderId="82" xfId="106" applyFont="1" applyFill="1" applyBorder="1" applyAlignment="1">
      <alignment vertical="center" shrinkToFit="1"/>
    </xf>
    <xf numFmtId="0" fontId="19" fillId="9" borderId="48" xfId="106" applyFont="1" applyFill="1" applyBorder="1" applyAlignment="1">
      <alignment vertical="center" shrinkToFit="1"/>
    </xf>
    <xf numFmtId="0" fontId="19" fillId="9" borderId="21" xfId="106" applyFont="1" applyFill="1" applyBorder="1" applyAlignment="1">
      <alignment vertical="center" shrinkToFit="1"/>
    </xf>
    <xf numFmtId="0" fontId="19" fillId="9" borderId="80" xfId="106" applyFont="1" applyFill="1" applyBorder="1" applyAlignment="1">
      <alignment vertical="center" shrinkToFit="1"/>
    </xf>
    <xf numFmtId="0" fontId="14" fillId="0" borderId="0" xfId="107" applyFont="1"/>
    <xf numFmtId="0" fontId="47" fillId="0" borderId="0" xfId="107" applyFont="1"/>
    <xf numFmtId="0" fontId="14" fillId="39" borderId="0" xfId="107" applyFont="1" applyFill="1" applyAlignment="1">
      <alignment horizontal="center"/>
    </xf>
    <xf numFmtId="0" fontId="47" fillId="0" borderId="0" xfId="107" applyFont="1" applyProtection="1">
      <protection hidden="1"/>
    </xf>
    <xf numFmtId="0" fontId="15" fillId="0" borderId="49" xfId="107" applyFont="1" applyBorder="1" applyAlignment="1">
      <alignment horizontal="right"/>
    </xf>
    <xf numFmtId="0" fontId="15" fillId="0" borderId="21" xfId="107" applyFont="1" applyBorder="1"/>
    <xf numFmtId="0" fontId="15" fillId="0" borderId="21" xfId="107" applyFont="1" applyBorder="1" applyAlignment="1">
      <alignment horizontal="right"/>
    </xf>
    <xf numFmtId="0" fontId="15" fillId="0" borderId="48" xfId="107" applyFont="1" applyBorder="1" applyAlignment="1">
      <alignment horizontal="right"/>
    </xf>
    <xf numFmtId="0" fontId="14" fillId="0" borderId="49" xfId="107" applyFont="1" applyBorder="1"/>
    <xf numFmtId="0" fontId="14" fillId="0" borderId="21" xfId="107" applyFont="1" applyBorder="1"/>
    <xf numFmtId="0" fontId="14" fillId="0" borderId="48" xfId="107" applyFont="1" applyBorder="1"/>
    <xf numFmtId="0" fontId="15" fillId="0" borderId="10" xfId="107" applyFont="1" applyBorder="1" applyAlignment="1">
      <alignment horizontal="right"/>
    </xf>
    <xf numFmtId="0" fontId="15" fillId="0" borderId="83" xfId="107" applyFont="1" applyBorder="1" applyAlignment="1">
      <alignment horizontal="right"/>
    </xf>
    <xf numFmtId="0" fontId="15" fillId="0" borderId="1" xfId="107" applyFont="1" applyBorder="1" applyAlignment="1">
      <alignment horizontal="right"/>
    </xf>
    <xf numFmtId="0" fontId="15" fillId="0" borderId="0" xfId="107" applyFont="1"/>
    <xf numFmtId="0" fontId="14" fillId="0" borderId="47" xfId="107" applyFont="1" applyBorder="1"/>
    <xf numFmtId="0" fontId="14" fillId="0" borderId="60" xfId="107" applyFont="1" applyBorder="1"/>
    <xf numFmtId="58" fontId="15" fillId="0" borderId="0" xfId="107" applyNumberFormat="1" applyFont="1" applyAlignment="1">
      <alignment horizontal="center" vertical="center"/>
    </xf>
    <xf numFmtId="0" fontId="15" fillId="0" borderId="47" xfId="107" applyFont="1" applyBorder="1"/>
    <xf numFmtId="0" fontId="48" fillId="0" borderId="47" xfId="107" applyFont="1" applyBorder="1"/>
    <xf numFmtId="0" fontId="48" fillId="0" borderId="0" xfId="107" applyFont="1"/>
    <xf numFmtId="0" fontId="48" fillId="0" borderId="60" xfId="107" applyFont="1" applyBorder="1"/>
    <xf numFmtId="0" fontId="15" fillId="0" borderId="47" xfId="107" applyFont="1" applyBorder="1" applyAlignment="1">
      <alignment horizontal="center"/>
    </xf>
    <xf numFmtId="0" fontId="15" fillId="0" borderId="0" xfId="107" applyFont="1" applyAlignment="1">
      <alignment horizontal="center"/>
    </xf>
    <xf numFmtId="0" fontId="15" fillId="0" borderId="60" xfId="107" applyFont="1" applyBorder="1" applyAlignment="1">
      <alignment horizontal="center"/>
    </xf>
    <xf numFmtId="0" fontId="14" fillId="0" borderId="10" xfId="107" applyFont="1" applyBorder="1" applyAlignment="1">
      <alignment horizontal="center"/>
    </xf>
    <xf numFmtId="0" fontId="14" fillId="0" borderId="83" xfId="107" applyFont="1" applyBorder="1" applyAlignment="1">
      <alignment horizontal="center"/>
    </xf>
    <xf numFmtId="0" fontId="14" fillId="0" borderId="1" xfId="107" applyFont="1" applyBorder="1" applyAlignment="1">
      <alignment horizontal="center"/>
    </xf>
    <xf numFmtId="0" fontId="15" fillId="0" borderId="49" xfId="107" applyFont="1" applyBorder="1"/>
    <xf numFmtId="0" fontId="14" fillId="0" borderId="49" xfId="107" applyFont="1" applyBorder="1" applyAlignment="1">
      <alignment horizontal="center"/>
    </xf>
    <xf numFmtId="0" fontId="14" fillId="0" borderId="21" xfId="107" applyFont="1" applyBorder="1" applyAlignment="1">
      <alignment horizontal="center"/>
    </xf>
    <xf numFmtId="0" fontId="14" fillId="0" borderId="48" xfId="107" applyFont="1" applyBorder="1" applyAlignment="1">
      <alignment horizontal="center"/>
    </xf>
    <xf numFmtId="58" fontId="15" fillId="0" borderId="47" xfId="107" applyNumberFormat="1" applyFont="1" applyBorder="1" applyAlignment="1">
      <alignment horizontal="center" vertical="center"/>
    </xf>
    <xf numFmtId="0" fontId="15" fillId="0" borderId="0" xfId="107" applyFont="1" applyAlignment="1">
      <alignment horizontal="distributed"/>
    </xf>
    <xf numFmtId="58" fontId="7" fillId="0" borderId="0" xfId="107" applyNumberFormat="1" applyAlignment="1">
      <alignment vertical="center"/>
    </xf>
    <xf numFmtId="0" fontId="51" fillId="0" borderId="0" xfId="107" applyFont="1" applyAlignment="1" applyProtection="1">
      <alignment vertical="center"/>
      <protection hidden="1"/>
    </xf>
    <xf numFmtId="0" fontId="15" fillId="0" borderId="83" xfId="107" applyFont="1" applyBorder="1"/>
    <xf numFmtId="0" fontId="15" fillId="0" borderId="47" xfId="107" applyFont="1" applyBorder="1" applyAlignment="1">
      <alignment horizontal="distributed"/>
    </xf>
    <xf numFmtId="0" fontId="15" fillId="0" borderId="60" xfId="107" applyFont="1" applyBorder="1" applyAlignment="1">
      <alignment horizontal="distributed"/>
    </xf>
    <xf numFmtId="0" fontId="8" fillId="0" borderId="0" xfId="107" applyFont="1"/>
    <xf numFmtId="0" fontId="15" fillId="0" borderId="49" xfId="107" applyFont="1" applyBorder="1" applyAlignment="1">
      <alignment horizontal="distributed"/>
    </xf>
    <xf numFmtId="0" fontId="15" fillId="0" borderId="21" xfId="107" applyFont="1" applyBorder="1" applyAlignment="1">
      <alignment horizontal="distributed"/>
    </xf>
    <xf numFmtId="0" fontId="15" fillId="0" borderId="48" xfId="107" applyFont="1" applyBorder="1" applyAlignment="1">
      <alignment horizontal="distributed"/>
    </xf>
    <xf numFmtId="0" fontId="15" fillId="0" borderId="10" xfId="107" applyFont="1" applyBorder="1"/>
    <xf numFmtId="0" fontId="15" fillId="0" borderId="10" xfId="107" applyFont="1" applyBorder="1" applyAlignment="1">
      <alignment horizontal="distributed"/>
    </xf>
    <xf numFmtId="0" fontId="15" fillId="0" borderId="83" xfId="107" applyFont="1" applyBorder="1" applyAlignment="1">
      <alignment horizontal="distributed"/>
    </xf>
    <xf numFmtId="0" fontId="15" fillId="0" borderId="1" xfId="107" applyFont="1" applyBorder="1" applyAlignment="1">
      <alignment horizontal="distributed"/>
    </xf>
    <xf numFmtId="0" fontId="15" fillId="0" borderId="21" xfId="107" applyFont="1" applyBorder="1" applyAlignment="1">
      <alignment vertical="center"/>
    </xf>
    <xf numFmtId="0" fontId="15" fillId="0" borderId="48" xfId="107" applyFont="1" applyBorder="1" applyAlignment="1">
      <alignment vertical="center"/>
    </xf>
    <xf numFmtId="0" fontId="52" fillId="0" borderId="47" xfId="107" applyFont="1" applyBorder="1" applyAlignment="1">
      <alignment horizontal="center"/>
    </xf>
    <xf numFmtId="0" fontId="52" fillId="0" borderId="0" xfId="107" applyFont="1" applyAlignment="1">
      <alignment horizontal="center"/>
    </xf>
    <xf numFmtId="0" fontId="52" fillId="0" borderId="60" xfId="107" applyFont="1" applyBorder="1" applyAlignment="1">
      <alignment horizontal="center"/>
    </xf>
    <xf numFmtId="0" fontId="15" fillId="0" borderId="48" xfId="107" applyFont="1" applyBorder="1"/>
    <xf numFmtId="0" fontId="15" fillId="0" borderId="60" xfId="107" applyFont="1" applyBorder="1"/>
    <xf numFmtId="0" fontId="15" fillId="0" borderId="47" xfId="107" applyFont="1" applyBorder="1" applyAlignment="1">
      <alignment horizontal="right"/>
    </xf>
    <xf numFmtId="0" fontId="15" fillId="0" borderId="0" xfId="107" applyFont="1" applyAlignment="1">
      <alignment horizontal="left"/>
    </xf>
    <xf numFmtId="0" fontId="15" fillId="0" borderId="60" xfId="107" applyFont="1" applyBorder="1" applyAlignment="1">
      <alignment horizontal="left"/>
    </xf>
    <xf numFmtId="0" fontId="15" fillId="0" borderId="0" xfId="107" applyFont="1" applyAlignment="1">
      <alignment horizontal="right"/>
    </xf>
    <xf numFmtId="0" fontId="15" fillId="38" borderId="0" xfId="107" applyFont="1" applyFill="1"/>
    <xf numFmtId="0" fontId="53" fillId="0" borderId="0" xfId="107" applyFont="1" applyProtection="1">
      <protection hidden="1"/>
    </xf>
    <xf numFmtId="0" fontId="15" fillId="0" borderId="47" xfId="107" applyFont="1" applyBorder="1" applyAlignment="1">
      <alignment horizontal="left"/>
    </xf>
    <xf numFmtId="0" fontId="51" fillId="0" borderId="0" xfId="107" applyFont="1" applyProtection="1">
      <protection hidden="1"/>
    </xf>
    <xf numFmtId="0" fontId="51" fillId="39" borderId="0" xfId="107" applyFont="1" applyFill="1" applyProtection="1">
      <protection hidden="1"/>
    </xf>
    <xf numFmtId="0" fontId="8" fillId="0" borderId="83" xfId="107" applyFont="1" applyBorder="1"/>
    <xf numFmtId="0" fontId="15" fillId="0" borderId="1" xfId="107" applyFont="1" applyBorder="1"/>
    <xf numFmtId="0" fontId="47" fillId="0" borderId="49" xfId="107" applyFont="1" applyBorder="1" applyAlignment="1">
      <alignment horizontal="center" vertical="distributed"/>
    </xf>
    <xf numFmtId="0" fontId="15" fillId="0" borderId="21" xfId="107" applyFont="1" applyBorder="1" applyAlignment="1">
      <alignment horizontal="center" vertical="distributed"/>
    </xf>
    <xf numFmtId="0" fontId="15" fillId="0" borderId="48" xfId="107" applyFont="1" applyBorder="1" applyAlignment="1">
      <alignment horizontal="center" vertical="distributed"/>
    </xf>
    <xf numFmtId="0" fontId="54" fillId="0" borderId="0" xfId="107" applyFont="1" applyProtection="1">
      <protection hidden="1"/>
    </xf>
    <xf numFmtId="0" fontId="54" fillId="0" borderId="0" xfId="107" applyFont="1" applyAlignment="1" applyProtection="1">
      <alignment horizontal="center" vertical="center"/>
      <protection hidden="1"/>
    </xf>
    <xf numFmtId="0" fontId="7" fillId="40" borderId="0" xfId="107" applyFill="1"/>
    <xf numFmtId="0" fontId="51" fillId="40" borderId="0" xfId="107" applyFont="1" applyFill="1" applyProtection="1">
      <protection hidden="1"/>
    </xf>
    <xf numFmtId="0" fontId="51" fillId="40" borderId="0" xfId="107" applyFont="1" applyFill="1" applyAlignment="1" applyProtection="1">
      <alignment vertical="center"/>
      <protection hidden="1"/>
    </xf>
    <xf numFmtId="0" fontId="15" fillId="39" borderId="0" xfId="107" applyFont="1" applyFill="1" applyAlignment="1">
      <alignment horizontal="center"/>
    </xf>
    <xf numFmtId="0" fontId="8" fillId="0" borderId="0" xfId="107" applyFont="1" applyAlignment="1">
      <alignment horizontal="left"/>
    </xf>
    <xf numFmtId="0" fontId="54" fillId="0" borderId="0" xfId="107" applyFont="1" applyAlignment="1" applyProtection="1">
      <alignment horizontal="left" vertical="center"/>
      <protection hidden="1"/>
    </xf>
    <xf numFmtId="0" fontId="54" fillId="0" borderId="0" xfId="107" applyFont="1" applyAlignment="1" applyProtection="1">
      <alignment vertical="center"/>
      <protection hidden="1"/>
    </xf>
    <xf numFmtId="0" fontId="54" fillId="39" borderId="0" xfId="107" applyFont="1" applyFill="1" applyAlignment="1" applyProtection="1">
      <alignment horizontal="left" vertical="center"/>
      <protection hidden="1"/>
    </xf>
    <xf numFmtId="0" fontId="8" fillId="0" borderId="0" xfId="107" applyFont="1" applyAlignment="1">
      <alignment horizontal="right"/>
    </xf>
    <xf numFmtId="0" fontId="52" fillId="0" borderId="0" xfId="107" applyFont="1" applyAlignment="1">
      <alignment vertical="center"/>
    </xf>
    <xf numFmtId="0" fontId="51" fillId="39" borderId="0" xfId="107" applyFont="1" applyFill="1" applyAlignment="1" applyProtection="1">
      <alignment vertical="center"/>
      <protection hidden="1"/>
    </xf>
    <xf numFmtId="0" fontId="14" fillId="0" borderId="47" xfId="107" applyFont="1" applyBorder="1" applyAlignment="1">
      <alignment horizontal="center"/>
    </xf>
    <xf numFmtId="0" fontId="56" fillId="0" borderId="0" xfId="107" applyFont="1" applyProtection="1">
      <protection hidden="1"/>
    </xf>
    <xf numFmtId="0" fontId="56" fillId="0" borderId="60" xfId="107" applyFont="1" applyBorder="1" applyProtection="1">
      <protection hidden="1"/>
    </xf>
    <xf numFmtId="58" fontId="14" fillId="0" borderId="47" xfId="107" applyNumberFormat="1" applyFont="1" applyBorder="1" applyAlignment="1">
      <alignment horizontal="center"/>
    </xf>
    <xf numFmtId="58" fontId="14" fillId="0" borderId="0" xfId="107" applyNumberFormat="1" applyFont="1" applyAlignment="1">
      <alignment horizontal="center" vertical="center"/>
    </xf>
    <xf numFmtId="58" fontId="14" fillId="0" borderId="0" xfId="107" applyNumberFormat="1" applyFont="1" applyAlignment="1">
      <alignment horizontal="right"/>
    </xf>
    <xf numFmtId="58" fontId="14" fillId="0" borderId="0" xfId="107" applyNumberFormat="1" applyFont="1" applyAlignment="1">
      <alignment horizontal="center"/>
    </xf>
    <xf numFmtId="58" fontId="14" fillId="0" borderId="60" xfId="107" applyNumberFormat="1" applyFont="1" applyBorder="1" applyAlignment="1">
      <alignment horizontal="right"/>
    </xf>
    <xf numFmtId="0" fontId="58" fillId="0" borderId="0" xfId="107" applyFont="1"/>
    <xf numFmtId="0" fontId="58" fillId="40" borderId="0" xfId="107" applyFont="1" applyFill="1"/>
    <xf numFmtId="0" fontId="59" fillId="0" borderId="47" xfId="107" applyFont="1" applyBorder="1" applyAlignment="1">
      <alignment horizontal="center"/>
    </xf>
    <xf numFmtId="0" fontId="59" fillId="0" borderId="0" xfId="107" applyFont="1" applyAlignment="1">
      <alignment horizontal="center"/>
    </xf>
    <xf numFmtId="0" fontId="60" fillId="0" borderId="60" xfId="107" applyFont="1" applyBorder="1"/>
    <xf numFmtId="0" fontId="51" fillId="0" borderId="0" xfId="107" applyFont="1" applyAlignment="1" applyProtection="1">
      <alignment vertical="center" wrapText="1" shrinkToFit="1"/>
      <protection hidden="1"/>
    </xf>
    <xf numFmtId="0" fontId="61" fillId="0" borderId="0" xfId="107" applyFont="1" applyAlignment="1" applyProtection="1">
      <alignment vertical="center"/>
      <protection hidden="1"/>
    </xf>
    <xf numFmtId="0" fontId="59" fillId="0" borderId="47" xfId="107" applyFont="1" applyBorder="1"/>
    <xf numFmtId="0" fontId="59" fillId="0" borderId="0" xfId="107" applyFont="1"/>
    <xf numFmtId="0" fontId="59" fillId="0" borderId="60" xfId="107" applyFont="1" applyBorder="1"/>
    <xf numFmtId="0" fontId="14" fillId="0" borderId="10" xfId="107" applyFont="1" applyBorder="1"/>
    <xf numFmtId="0" fontId="14" fillId="0" borderId="83" xfId="107" applyFont="1" applyBorder="1"/>
    <xf numFmtId="0" fontId="47" fillId="0" borderId="1" xfId="107" applyFont="1" applyBorder="1"/>
    <xf numFmtId="0" fontId="54" fillId="0" borderId="0" xfId="107" applyFont="1" applyAlignment="1" applyProtection="1">
      <alignment horizontal="right" vertical="top"/>
      <protection hidden="1"/>
    </xf>
    <xf numFmtId="0" fontId="51" fillId="0" borderId="0" xfId="107" applyFont="1" applyAlignment="1" applyProtection="1">
      <alignment horizontal="left"/>
      <protection hidden="1"/>
    </xf>
    <xf numFmtId="58" fontId="14" fillId="9" borderId="0" xfId="107" applyNumberFormat="1" applyFont="1" applyFill="1" applyAlignment="1">
      <alignment horizontal="center" vertical="center"/>
    </xf>
    <xf numFmtId="0" fontId="15" fillId="9" borderId="0" xfId="107" applyFont="1" applyFill="1" applyAlignment="1">
      <alignment horizontal="right"/>
    </xf>
    <xf numFmtId="0" fontId="15" fillId="9" borderId="0" xfId="107" applyFont="1" applyFill="1" applyAlignment="1">
      <alignment horizontal="left"/>
    </xf>
    <xf numFmtId="182" fontId="15" fillId="8" borderId="0" xfId="107" applyNumberFormat="1" applyFont="1" applyFill="1" applyAlignment="1">
      <alignment horizontal="center" vertical="center"/>
    </xf>
    <xf numFmtId="183" fontId="15" fillId="8" borderId="0" xfId="107" applyNumberFormat="1" applyFont="1" applyFill="1" applyAlignment="1">
      <alignment horizontal="center" vertical="center"/>
    </xf>
    <xf numFmtId="184" fontId="15" fillId="8" borderId="0" xfId="107" applyNumberFormat="1" applyFont="1" applyFill="1" applyAlignment="1">
      <alignment horizontal="center" vertical="center"/>
    </xf>
    <xf numFmtId="0" fontId="51" fillId="0" borderId="0" xfId="108" applyFont="1" applyAlignment="1" applyProtection="1">
      <alignment horizontal="left" vertical="center"/>
      <protection hidden="1"/>
    </xf>
    <xf numFmtId="0" fontId="51" fillId="0" borderId="0" xfId="108" applyFont="1" applyAlignment="1" applyProtection="1">
      <alignment horizontal="left" vertical="center"/>
      <protection locked="0"/>
    </xf>
    <xf numFmtId="49" fontId="51" fillId="0" borderId="0" xfId="108" applyNumberFormat="1" applyFont="1" applyAlignment="1" applyProtection="1">
      <alignment horizontal="left" vertical="center"/>
      <protection hidden="1"/>
    </xf>
    <xf numFmtId="0" fontId="51" fillId="0" borderId="0" xfId="108" applyFont="1" applyAlignment="1" applyProtection="1">
      <alignment horizontal="right" vertical="center"/>
      <protection hidden="1"/>
    </xf>
    <xf numFmtId="0" fontId="51" fillId="0" borderId="0" xfId="108" applyFont="1" applyAlignment="1" applyProtection="1">
      <alignment vertical="center" wrapText="1"/>
      <protection hidden="1"/>
    </xf>
    <xf numFmtId="0" fontId="51" fillId="0" borderId="0" xfId="108" applyFont="1" applyAlignment="1" applyProtection="1">
      <alignment vertical="center"/>
      <protection locked="0"/>
    </xf>
    <xf numFmtId="0" fontId="51" fillId="0" borderId="0" xfId="108" applyFont="1" applyAlignment="1" applyProtection="1">
      <alignment vertical="center"/>
      <protection hidden="1"/>
    </xf>
    <xf numFmtId="0" fontId="51" fillId="0" borderId="0" xfId="108" applyFont="1" applyAlignment="1" applyProtection="1">
      <alignment horizontal="center" vertical="center"/>
      <protection hidden="1"/>
    </xf>
    <xf numFmtId="0" fontId="51" fillId="0" borderId="0" xfId="108" applyFont="1" applyAlignment="1" applyProtection="1">
      <alignment horizontal="left" vertical="center" wrapText="1"/>
      <protection hidden="1"/>
    </xf>
    <xf numFmtId="0" fontId="51" fillId="0" borderId="21" xfId="108" applyFont="1" applyBorder="1" applyAlignment="1" applyProtection="1">
      <alignment vertical="center"/>
      <protection locked="0"/>
    </xf>
    <xf numFmtId="0" fontId="51" fillId="0" borderId="21" xfId="108" applyFont="1" applyBorder="1" applyAlignment="1" applyProtection="1">
      <alignment horizontal="left" vertical="center"/>
      <protection hidden="1"/>
    </xf>
    <xf numFmtId="0" fontId="64" fillId="0" borderId="0" xfId="108" applyFont="1" applyAlignment="1" applyProtection="1">
      <alignment horizontal="left" vertical="center"/>
      <protection hidden="1"/>
    </xf>
    <xf numFmtId="0" fontId="57" fillId="0" borderId="0" xfId="108" applyFont="1" applyAlignment="1" applyProtection="1">
      <alignment horizontal="left" vertical="center"/>
      <protection hidden="1"/>
    </xf>
    <xf numFmtId="0" fontId="61" fillId="0" borderId="0" xfId="108" applyFont="1" applyAlignment="1" applyProtection="1">
      <alignment horizontal="left" vertical="center"/>
      <protection hidden="1"/>
    </xf>
    <xf numFmtId="0" fontId="51" fillId="0" borderId="0" xfId="109" applyFont="1" applyProtection="1">
      <protection hidden="1"/>
    </xf>
    <xf numFmtId="0" fontId="54" fillId="0" borderId="0" xfId="109" applyFont="1" applyProtection="1">
      <protection hidden="1"/>
    </xf>
    <xf numFmtId="49" fontId="54" fillId="0" borderId="0" xfId="109" applyNumberFormat="1" applyFont="1" applyProtection="1">
      <protection hidden="1"/>
    </xf>
    <xf numFmtId="49" fontId="51" fillId="0" borderId="0" xfId="109" applyNumberFormat="1" applyFont="1" applyProtection="1">
      <protection hidden="1"/>
    </xf>
    <xf numFmtId="49" fontId="51" fillId="0" borderId="0" xfId="109" applyNumberFormat="1" applyFont="1" applyAlignment="1" applyProtection="1">
      <alignment horizontal="left"/>
      <protection hidden="1"/>
    </xf>
    <xf numFmtId="0" fontId="51" fillId="0" borderId="0" xfId="109" applyFont="1" applyAlignment="1" applyProtection="1">
      <alignment horizontal="left"/>
      <protection hidden="1"/>
    </xf>
    <xf numFmtId="0" fontId="63" fillId="0" borderId="0" xfId="109" applyFont="1"/>
    <xf numFmtId="0" fontId="51" fillId="0" borderId="0" xfId="109" applyFont="1" applyAlignment="1" applyProtection="1">
      <alignment horizontal="left" vertical="center"/>
      <protection hidden="1"/>
    </xf>
    <xf numFmtId="0" fontId="51" fillId="0" borderId="0" xfId="109" applyFont="1" applyAlignment="1" applyProtection="1">
      <alignment horizontal="right" vertical="top"/>
      <protection locked="0"/>
    </xf>
    <xf numFmtId="0" fontId="51" fillId="0" borderId="21" xfId="109" applyFont="1" applyBorder="1" applyProtection="1">
      <protection hidden="1"/>
    </xf>
    <xf numFmtId="0" fontId="51" fillId="0" borderId="21" xfId="109" applyFont="1" applyBorder="1" applyAlignment="1" applyProtection="1">
      <alignment vertical="top"/>
      <protection hidden="1"/>
    </xf>
    <xf numFmtId="0" fontId="51" fillId="0" borderId="0" xfId="109" applyFont="1" applyAlignment="1" applyProtection="1">
      <alignment vertical="top"/>
      <protection hidden="1"/>
    </xf>
    <xf numFmtId="0" fontId="51" fillId="0" borderId="0" xfId="109" applyFont="1" applyAlignment="1" applyProtection="1">
      <alignment horizontal="center" vertical="center"/>
      <protection hidden="1"/>
    </xf>
    <xf numFmtId="0" fontId="64" fillId="0" borderId="0" xfId="109" applyFont="1" applyProtection="1">
      <protection hidden="1"/>
    </xf>
    <xf numFmtId="0" fontId="57" fillId="0" borderId="0" xfId="109" applyFont="1" applyProtection="1">
      <protection hidden="1"/>
    </xf>
    <xf numFmtId="0" fontId="51" fillId="0" borderId="0" xfId="109" applyFont="1" applyAlignment="1" applyProtection="1">
      <alignment horizontal="left" vertical="distributed" wrapText="1"/>
      <protection hidden="1"/>
    </xf>
    <xf numFmtId="0" fontId="61" fillId="0" borderId="0" xfId="109" applyFont="1" applyProtection="1">
      <protection hidden="1"/>
    </xf>
    <xf numFmtId="0" fontId="66" fillId="0" borderId="0" xfId="71" applyFont="1">
      <alignment vertical="center"/>
    </xf>
    <xf numFmtId="0" fontId="66" fillId="0" borderId="49" xfId="71" applyFont="1" applyBorder="1">
      <alignment vertical="center"/>
    </xf>
    <xf numFmtId="0" fontId="66" fillId="0" borderId="21" xfId="71" applyFont="1" applyBorder="1">
      <alignment vertical="center"/>
    </xf>
    <xf numFmtId="0" fontId="66" fillId="0" borderId="48" xfId="71" applyFont="1" applyBorder="1">
      <alignment vertical="center"/>
    </xf>
    <xf numFmtId="0" fontId="66" fillId="0" borderId="47" xfId="71" applyFont="1" applyBorder="1">
      <alignment vertical="center"/>
    </xf>
    <xf numFmtId="0" fontId="66" fillId="0" borderId="60" xfId="71" applyFont="1" applyBorder="1">
      <alignment vertical="center"/>
    </xf>
    <xf numFmtId="0" fontId="66" fillId="0" borderId="95" xfId="71" applyFont="1" applyBorder="1">
      <alignment vertical="center"/>
    </xf>
    <xf numFmtId="0" fontId="66" fillId="0" borderId="83" xfId="71" applyFont="1" applyBorder="1">
      <alignment vertical="center"/>
    </xf>
    <xf numFmtId="0" fontId="66" fillId="0" borderId="96" xfId="71" applyFont="1" applyBorder="1">
      <alignment vertical="center"/>
    </xf>
    <xf numFmtId="0" fontId="53" fillId="0" borderId="0" xfId="118" applyFont="1" applyAlignment="1" applyProtection="1">
      <alignment horizontal="left" vertical="center"/>
      <protection hidden="1"/>
    </xf>
    <xf numFmtId="0" fontId="51" fillId="0" borderId="0" xfId="118" applyFont="1" applyProtection="1">
      <protection hidden="1"/>
    </xf>
    <xf numFmtId="0" fontId="67" fillId="0" borderId="0" xfId="71" applyFont="1">
      <alignment vertical="center"/>
    </xf>
    <xf numFmtId="0" fontId="63" fillId="0" borderId="0" xfId="119" applyFont="1" applyAlignment="1">
      <alignment horizontal="left" vertical="center"/>
    </xf>
    <xf numFmtId="0" fontId="53" fillId="0" borderId="0" xfId="119" applyFont="1" applyAlignment="1">
      <alignment horizontal="left" vertical="center"/>
    </xf>
    <xf numFmtId="0" fontId="53" fillId="0" borderId="53" xfId="119" applyFont="1" applyBorder="1" applyAlignment="1">
      <alignment horizontal="left" vertical="center"/>
    </xf>
    <xf numFmtId="0" fontId="53" fillId="0" borderId="33" xfId="119" applyFont="1" applyBorder="1" applyAlignment="1">
      <alignment horizontal="left" vertical="center"/>
    </xf>
    <xf numFmtId="0" fontId="53" fillId="0" borderId="33" xfId="119" applyFont="1" applyBorder="1" applyAlignment="1">
      <alignment horizontal="right" vertical="center" shrinkToFit="1"/>
    </xf>
    <xf numFmtId="0" fontId="53" fillId="0" borderId="21" xfId="119" applyFont="1" applyBorder="1" applyAlignment="1">
      <alignment vertical="center"/>
    </xf>
    <xf numFmtId="0" fontId="53" fillId="0" borderId="21" xfId="119" applyFont="1" applyBorder="1" applyAlignment="1">
      <alignment horizontal="right" vertical="center"/>
    </xf>
    <xf numFmtId="0" fontId="53" fillId="0" borderId="48" xfId="119" applyFont="1" applyBorder="1" applyAlignment="1">
      <alignment vertical="center"/>
    </xf>
    <xf numFmtId="0" fontId="53" fillId="0" borderId="47" xfId="119" applyFont="1" applyBorder="1" applyAlignment="1">
      <alignment horizontal="left" vertical="center"/>
    </xf>
    <xf numFmtId="0" fontId="53" fillId="0" borderId="0" xfId="119" applyFont="1" applyAlignment="1">
      <alignment vertical="center" shrinkToFit="1"/>
    </xf>
    <xf numFmtId="0" fontId="53" fillId="0" borderId="0" xfId="119" applyFont="1" applyAlignment="1">
      <alignment vertical="center"/>
    </xf>
    <xf numFmtId="0" fontId="53" fillId="0" borderId="97" xfId="119" applyFont="1" applyBorder="1" applyAlignment="1">
      <alignment vertical="center"/>
    </xf>
    <xf numFmtId="0" fontId="53" fillId="0" borderId="0" xfId="119" applyFont="1" applyAlignment="1">
      <alignment horizontal="right" vertical="center"/>
    </xf>
    <xf numFmtId="0" fontId="53" fillId="0" borderId="97" xfId="119" applyFont="1" applyBorder="1" applyAlignment="1">
      <alignment horizontal="left" vertical="center"/>
    </xf>
    <xf numFmtId="0" fontId="53" fillId="0" borderId="95" xfId="119" applyFont="1" applyBorder="1" applyAlignment="1">
      <alignment vertical="center"/>
    </xf>
    <xf numFmtId="0" fontId="53" fillId="0" borderId="83" xfId="119" applyFont="1" applyBorder="1" applyAlignment="1">
      <alignment vertical="center"/>
    </xf>
    <xf numFmtId="0" fontId="53" fillId="0" borderId="83" xfId="119" applyFont="1" applyBorder="1" applyAlignment="1">
      <alignment horizontal="left" vertical="center"/>
    </xf>
    <xf numFmtId="0" fontId="53" fillId="0" borderId="96" xfId="119" applyFont="1" applyBorder="1" applyAlignment="1">
      <alignment horizontal="left" vertical="center"/>
    </xf>
    <xf numFmtId="0" fontId="53" fillId="0" borderId="21" xfId="119" applyFont="1" applyBorder="1" applyAlignment="1">
      <alignment horizontal="left" vertical="center"/>
    </xf>
    <xf numFmtId="0" fontId="53" fillId="0" borderId="33" xfId="119" applyFont="1" applyBorder="1" applyAlignment="1">
      <alignment vertical="center"/>
    </xf>
    <xf numFmtId="0" fontId="53" fillId="0" borderId="33" xfId="119" applyFont="1" applyBorder="1" applyAlignment="1">
      <alignment horizontal="right" vertical="center"/>
    </xf>
    <xf numFmtId="0" fontId="53" fillId="0" borderId="35" xfId="119" applyFont="1" applyBorder="1" applyAlignment="1">
      <alignment vertical="center"/>
    </xf>
    <xf numFmtId="0" fontId="53" fillId="0" borderId="51" xfId="119" applyFont="1" applyBorder="1" applyAlignment="1">
      <alignment vertical="center"/>
    </xf>
    <xf numFmtId="0" fontId="53" fillId="0" borderId="51" xfId="119" applyFont="1" applyBorder="1" applyAlignment="1">
      <alignment horizontal="left" vertical="center"/>
    </xf>
    <xf numFmtId="0" fontId="53" fillId="0" borderId="75" xfId="119" applyFont="1" applyBorder="1" applyAlignment="1">
      <alignment horizontal="left" vertical="center"/>
    </xf>
    <xf numFmtId="0" fontId="53" fillId="0" borderId="21" xfId="119" applyFont="1" applyBorder="1" applyAlignment="1">
      <alignment horizontal="right" vertical="center" shrinkToFit="1"/>
    </xf>
    <xf numFmtId="0" fontId="53" fillId="0" borderId="60" xfId="119" applyFont="1" applyBorder="1" applyAlignment="1">
      <alignment horizontal="left" vertical="center"/>
    </xf>
    <xf numFmtId="0" fontId="53" fillId="0" borderId="0" xfId="119" applyFont="1" applyAlignment="1" applyProtection="1">
      <alignment horizontal="left" vertical="center"/>
      <protection hidden="1"/>
    </xf>
    <xf numFmtId="0" fontId="53" fillId="0" borderId="95" xfId="119" applyFont="1" applyBorder="1" applyAlignment="1">
      <alignment horizontal="left" vertical="center"/>
    </xf>
    <xf numFmtId="0" fontId="53" fillId="0" borderId="98" xfId="119" applyFont="1" applyBorder="1" applyAlignment="1" applyProtection="1">
      <alignment horizontal="left" vertical="center"/>
      <protection hidden="1"/>
    </xf>
    <xf numFmtId="0" fontId="53" fillId="0" borderId="78" xfId="119" applyFont="1" applyBorder="1" applyAlignment="1" applyProtection="1">
      <alignment horizontal="left" vertical="center"/>
      <protection hidden="1"/>
    </xf>
    <xf numFmtId="0" fontId="53" fillId="0" borderId="78" xfId="119" applyFont="1" applyBorder="1" applyAlignment="1">
      <alignment horizontal="left" vertical="center"/>
    </xf>
    <xf numFmtId="0" fontId="51" fillId="0" borderId="0" xfId="119" applyFont="1" applyAlignment="1" applyProtection="1">
      <alignment horizontal="left" vertical="center"/>
      <protection hidden="1"/>
    </xf>
    <xf numFmtId="0" fontId="51" fillId="0" borderId="0" xfId="119" applyFont="1" applyAlignment="1" applyProtection="1">
      <alignment horizontal="left" vertical="center"/>
      <protection locked="0"/>
    </xf>
    <xf numFmtId="49" fontId="51" fillId="0" borderId="0" xfId="119" applyNumberFormat="1" applyFont="1" applyAlignment="1" applyProtection="1">
      <alignment horizontal="left" vertical="center"/>
      <protection hidden="1"/>
    </xf>
    <xf numFmtId="0" fontId="54" fillId="0" borderId="0" xfId="119" applyFont="1" applyAlignment="1" applyProtection="1">
      <alignment horizontal="left" vertical="center"/>
      <protection hidden="1"/>
    </xf>
    <xf numFmtId="49" fontId="54" fillId="0" borderId="0" xfId="119" applyNumberFormat="1" applyFont="1" applyAlignment="1" applyProtection="1">
      <alignment horizontal="left" vertical="center"/>
      <protection hidden="1"/>
    </xf>
    <xf numFmtId="0" fontId="54" fillId="0" borderId="0" xfId="119" applyFont="1" applyAlignment="1" applyProtection="1">
      <alignment horizontal="center" vertical="center"/>
      <protection locked="0"/>
    </xf>
    <xf numFmtId="0" fontId="54" fillId="0" borderId="21" xfId="119" applyFont="1" applyBorder="1" applyAlignment="1" applyProtection="1">
      <alignment horizontal="left" vertical="center"/>
      <protection hidden="1"/>
    </xf>
    <xf numFmtId="0" fontId="54" fillId="0" borderId="0" xfId="119" applyFont="1" applyAlignment="1" applyProtection="1">
      <alignment vertical="center"/>
      <protection hidden="1"/>
    </xf>
    <xf numFmtId="0" fontId="64" fillId="0" borderId="0" xfId="119" applyFont="1" applyAlignment="1" applyProtection="1">
      <alignment horizontal="left" vertical="center"/>
      <protection hidden="1"/>
    </xf>
    <xf numFmtId="0" fontId="65" fillId="0" borderId="0" xfId="119" applyFont="1" applyAlignment="1" applyProtection="1">
      <alignment horizontal="left" vertical="center"/>
      <protection hidden="1"/>
    </xf>
    <xf numFmtId="0" fontId="61" fillId="0" borderId="0" xfId="119" applyFont="1" applyAlignment="1" applyProtection="1">
      <alignment horizontal="left" vertical="center"/>
      <protection hidden="1"/>
    </xf>
    <xf numFmtId="0" fontId="61" fillId="0" borderId="0" xfId="119" applyFont="1" applyAlignment="1" applyProtection="1">
      <alignment vertical="center"/>
      <protection locked="0"/>
    </xf>
    <xf numFmtId="0" fontId="51" fillId="0" borderId="0" xfId="119" applyFont="1" applyAlignment="1">
      <alignment horizontal="left" vertical="center" wrapText="1"/>
    </xf>
    <xf numFmtId="0" fontId="51" fillId="0" borderId="0" xfId="119" applyFont="1" applyAlignment="1">
      <alignment horizontal="left" vertical="center"/>
    </xf>
    <xf numFmtId="0" fontId="54" fillId="0" borderId="0" xfId="119" applyFont="1" applyAlignment="1">
      <alignment horizontal="left" vertical="center"/>
    </xf>
    <xf numFmtId="0" fontId="65" fillId="0" borderId="0" xfId="119" applyFont="1" applyAlignment="1">
      <alignment horizontal="center" vertical="center"/>
    </xf>
    <xf numFmtId="0" fontId="63" fillId="0" borderId="0" xfId="120" applyFont="1" applyAlignment="1">
      <alignment horizontal="left" vertical="center"/>
    </xf>
    <xf numFmtId="0" fontId="53" fillId="0" borderId="53" xfId="120" applyFont="1" applyBorder="1" applyAlignment="1">
      <alignment horizontal="left" vertical="center"/>
    </xf>
    <xf numFmtId="0" fontId="53" fillId="0" borderId="33" xfId="120" applyFont="1" applyBorder="1" applyAlignment="1">
      <alignment horizontal="left" vertical="center"/>
    </xf>
    <xf numFmtId="0" fontId="53" fillId="0" borderId="33" xfId="120" applyFont="1" applyBorder="1" applyAlignment="1">
      <alignment horizontal="right" vertical="center" shrinkToFit="1"/>
    </xf>
    <xf numFmtId="0" fontId="53" fillId="0" borderId="33" xfId="120" applyFont="1" applyBorder="1" applyAlignment="1">
      <alignment vertical="center"/>
    </xf>
    <xf numFmtId="0" fontId="53" fillId="0" borderId="33" xfId="120" applyFont="1" applyBorder="1" applyAlignment="1">
      <alignment horizontal="right" vertical="center"/>
    </xf>
    <xf numFmtId="0" fontId="53" fillId="0" borderId="35" xfId="120" applyFont="1" applyBorder="1" applyAlignment="1">
      <alignment vertical="center"/>
    </xf>
    <xf numFmtId="0" fontId="53" fillId="0" borderId="0" xfId="120" applyFont="1" applyAlignment="1">
      <alignment horizontal="left" vertical="center"/>
    </xf>
    <xf numFmtId="0" fontId="53" fillId="0" borderId="47" xfId="120" applyFont="1" applyBorder="1" applyAlignment="1">
      <alignment horizontal="left" vertical="center"/>
    </xf>
    <xf numFmtId="0" fontId="53" fillId="0" borderId="0" xfId="120" applyFont="1" applyAlignment="1">
      <alignment horizontal="right" vertical="center"/>
    </xf>
    <xf numFmtId="0" fontId="53" fillId="0" borderId="97" xfId="120" applyFont="1" applyBorder="1" applyAlignment="1">
      <alignment vertical="center"/>
    </xf>
    <xf numFmtId="0" fontId="53" fillId="0" borderId="51" xfId="120" applyFont="1" applyBorder="1" applyAlignment="1">
      <alignment vertical="center"/>
    </xf>
    <xf numFmtId="0" fontId="53" fillId="0" borderId="97" xfId="120" applyFont="1" applyBorder="1" applyAlignment="1">
      <alignment horizontal="left" vertical="center"/>
    </xf>
    <xf numFmtId="0" fontId="53" fillId="0" borderId="51" xfId="120" applyFont="1" applyBorder="1" applyAlignment="1">
      <alignment horizontal="left" vertical="center"/>
    </xf>
    <xf numFmtId="0" fontId="53" fillId="0" borderId="75" xfId="120" applyFont="1" applyBorder="1" applyAlignment="1">
      <alignment horizontal="left" vertical="center"/>
    </xf>
    <xf numFmtId="0" fontId="53" fillId="0" borderId="96" xfId="120" applyFont="1" applyBorder="1" applyAlignment="1">
      <alignment horizontal="left" vertical="center"/>
    </xf>
    <xf numFmtId="0" fontId="53" fillId="0" borderId="0" xfId="120" applyFont="1" applyAlignment="1" applyProtection="1">
      <alignment horizontal="left" vertical="center"/>
      <protection hidden="1"/>
    </xf>
    <xf numFmtId="0" fontId="54" fillId="0" borderId="0" xfId="120" applyFont="1" applyAlignment="1" applyProtection="1">
      <alignment horizontal="left" vertical="center"/>
      <protection hidden="1"/>
    </xf>
    <xf numFmtId="0" fontId="51" fillId="0" borderId="0" xfId="120" applyFont="1" applyAlignment="1" applyProtection="1">
      <alignment horizontal="left" vertical="center"/>
      <protection hidden="1"/>
    </xf>
    <xf numFmtId="49" fontId="54" fillId="0" borderId="0" xfId="120" applyNumberFormat="1" applyFont="1" applyAlignment="1" applyProtection="1">
      <alignment horizontal="left" vertical="center"/>
      <protection hidden="1"/>
    </xf>
    <xf numFmtId="0" fontId="61" fillId="0" borderId="0" xfId="120" applyFont="1" applyAlignment="1" applyProtection="1">
      <alignment horizontal="left" vertical="center"/>
      <protection hidden="1"/>
    </xf>
    <xf numFmtId="0" fontId="65" fillId="0" borderId="0" xfId="120" applyFont="1" applyAlignment="1">
      <alignment horizontal="center" vertical="center"/>
    </xf>
    <xf numFmtId="0" fontId="51" fillId="0" borderId="0" xfId="121" applyFont="1" applyAlignment="1" applyProtection="1">
      <alignment vertical="center"/>
      <protection hidden="1"/>
    </xf>
    <xf numFmtId="0" fontId="51" fillId="0" borderId="0" xfId="121" applyFont="1" applyAlignment="1" applyProtection="1">
      <alignment horizontal="left" vertical="center"/>
      <protection locked="0"/>
    </xf>
    <xf numFmtId="0" fontId="51" fillId="0" borderId="0" xfId="121" applyFont="1" applyAlignment="1" applyProtection="1">
      <alignment vertical="center"/>
      <protection locked="0"/>
    </xf>
    <xf numFmtId="0" fontId="51" fillId="0" borderId="0" xfId="121" applyFont="1" applyAlignment="1" applyProtection="1">
      <alignment horizontal="left" vertical="center"/>
      <protection hidden="1"/>
    </xf>
    <xf numFmtId="0" fontId="51" fillId="0" borderId="0" xfId="121" applyFont="1" applyAlignment="1" applyProtection="1">
      <alignment horizontal="right" vertical="center"/>
      <protection hidden="1"/>
    </xf>
    <xf numFmtId="0" fontId="51" fillId="0" borderId="0" xfId="121" applyFont="1" applyAlignment="1" applyProtection="1">
      <alignment horizontal="center" vertical="center"/>
      <protection hidden="1"/>
    </xf>
    <xf numFmtId="49" fontId="51" fillId="0" borderId="0" xfId="121" applyNumberFormat="1" applyFont="1" applyAlignment="1" applyProtection="1">
      <alignment vertical="center"/>
      <protection hidden="1"/>
    </xf>
    <xf numFmtId="0" fontId="51" fillId="0" borderId="0" xfId="121" applyFont="1" applyAlignment="1" applyProtection="1">
      <alignment horizontal="distributed" vertical="center"/>
      <protection locked="0"/>
    </xf>
    <xf numFmtId="0" fontId="63" fillId="0" borderId="0" xfId="121" applyFont="1" applyAlignment="1">
      <alignment vertical="center"/>
    </xf>
    <xf numFmtId="0" fontId="51" fillId="0" borderId="83" xfId="121" applyFont="1" applyBorder="1" applyAlignment="1" applyProtection="1">
      <alignment vertical="center"/>
      <protection locked="0"/>
    </xf>
    <xf numFmtId="0" fontId="51" fillId="0" borderId="83" xfId="121" applyFont="1" applyBorder="1" applyAlignment="1" applyProtection="1">
      <alignment horizontal="left" vertical="center" wrapText="1"/>
      <protection hidden="1"/>
    </xf>
    <xf numFmtId="0" fontId="51" fillId="0" borderId="83" xfId="121" applyFont="1" applyBorder="1" applyAlignment="1" applyProtection="1">
      <alignment vertical="center"/>
      <protection hidden="1"/>
    </xf>
    <xf numFmtId="0" fontId="51" fillId="0" borderId="21" xfId="121" applyFont="1" applyBorder="1" applyAlignment="1" applyProtection="1">
      <alignment vertical="center"/>
      <protection locked="0"/>
    </xf>
    <xf numFmtId="0" fontId="51" fillId="0" borderId="21" xfId="121" applyFont="1" applyBorder="1" applyAlignment="1" applyProtection="1">
      <alignment vertical="center"/>
      <protection hidden="1"/>
    </xf>
    <xf numFmtId="0" fontId="64" fillId="0" borderId="0" xfId="121" applyFont="1" applyAlignment="1" applyProtection="1">
      <alignment vertical="center"/>
      <protection hidden="1"/>
    </xf>
    <xf numFmtId="0" fontId="57" fillId="0" borderId="0" xfId="121" applyFont="1" applyAlignment="1" applyProtection="1">
      <alignment vertical="center"/>
      <protection hidden="1"/>
    </xf>
    <xf numFmtId="0" fontId="51" fillId="0" borderId="0" xfId="121" applyFont="1" applyAlignment="1" applyProtection="1">
      <alignment horizontal="left" vertical="center" wrapText="1"/>
      <protection hidden="1"/>
    </xf>
    <xf numFmtId="0" fontId="7" fillId="0" borderId="0" xfId="121" applyAlignment="1">
      <alignment vertical="center"/>
    </xf>
    <xf numFmtId="0" fontId="61" fillId="0" borderId="0" xfId="121" applyFont="1" applyAlignment="1" applyProtection="1">
      <alignment vertical="center"/>
      <protection hidden="1"/>
    </xf>
    <xf numFmtId="0" fontId="51" fillId="0" borderId="0" xfId="122" applyFont="1" applyAlignment="1" applyProtection="1">
      <alignment vertical="center"/>
      <protection hidden="1"/>
    </xf>
    <xf numFmtId="0" fontId="54" fillId="0" borderId="0" xfId="122" applyFont="1" applyAlignment="1">
      <alignment vertical="center"/>
    </xf>
    <xf numFmtId="0" fontId="51" fillId="0" borderId="0" xfId="122" applyFont="1" applyAlignment="1" applyProtection="1">
      <alignment vertical="center"/>
      <protection locked="0"/>
    </xf>
    <xf numFmtId="0" fontId="51" fillId="0" borderId="0" xfId="122" applyFont="1" applyAlignment="1" applyProtection="1">
      <alignment horizontal="left" vertical="center"/>
      <protection locked="0"/>
    </xf>
    <xf numFmtId="0" fontId="54" fillId="0" borderId="49" xfId="122" applyFont="1" applyBorder="1" applyAlignment="1">
      <alignment vertical="center"/>
    </xf>
    <xf numFmtId="0" fontId="54" fillId="0" borderId="21" xfId="122" applyFont="1" applyBorder="1" applyAlignment="1">
      <alignment vertical="center"/>
    </xf>
    <xf numFmtId="0" fontId="54" fillId="0" borderId="99" xfId="122" applyFont="1" applyBorder="1" applyAlignment="1">
      <alignment horizontal="right" vertical="center"/>
    </xf>
    <xf numFmtId="0" fontId="54" fillId="0" borderId="47" xfId="122" applyFont="1" applyBorder="1" applyAlignment="1">
      <alignment vertical="center"/>
    </xf>
    <xf numFmtId="0" fontId="54" fillId="0" borderId="0" xfId="122" applyFont="1" applyAlignment="1">
      <alignment horizontal="right" vertical="center"/>
    </xf>
    <xf numFmtId="0" fontId="63" fillId="0" borderId="0" xfId="122" applyFont="1" applyAlignment="1">
      <alignment vertical="center"/>
    </xf>
    <xf numFmtId="0" fontId="54" fillId="0" borderId="97" xfId="122" applyFont="1" applyBorder="1" applyAlignment="1">
      <alignment vertical="center"/>
    </xf>
    <xf numFmtId="0" fontId="54" fillId="0" borderId="102" xfId="122" applyFont="1" applyBorder="1" applyAlignment="1" applyProtection="1">
      <alignment vertical="center"/>
      <protection hidden="1"/>
    </xf>
    <xf numFmtId="0" fontId="54" fillId="0" borderId="97" xfId="122" applyFont="1" applyBorder="1" applyAlignment="1" applyProtection="1">
      <alignment horizontal="center" vertical="center"/>
      <protection hidden="1"/>
    </xf>
    <xf numFmtId="0" fontId="54" fillId="0" borderId="97" xfId="122" applyFont="1" applyBorder="1" applyAlignment="1" applyProtection="1">
      <alignment vertical="center"/>
      <protection hidden="1"/>
    </xf>
    <xf numFmtId="0" fontId="54" fillId="0" borderId="51" xfId="122" applyFont="1" applyBorder="1" applyAlignment="1">
      <alignment vertical="center"/>
    </xf>
    <xf numFmtId="0" fontId="54" fillId="0" borderId="60" xfId="122" applyFont="1" applyBorder="1" applyAlignment="1">
      <alignment vertical="center"/>
    </xf>
    <xf numFmtId="0" fontId="54" fillId="0" borderId="95" xfId="122" applyFont="1" applyBorder="1" applyAlignment="1" applyProtection="1">
      <alignment vertical="center"/>
      <protection hidden="1"/>
    </xf>
    <xf numFmtId="0" fontId="54" fillId="0" borderId="83" xfId="122" applyFont="1" applyBorder="1" applyAlignment="1" applyProtection="1">
      <alignment vertical="center"/>
      <protection hidden="1"/>
    </xf>
    <xf numFmtId="0" fontId="54" fillId="0" borderId="83" xfId="122" applyFont="1" applyBorder="1" applyAlignment="1" applyProtection="1">
      <alignment horizontal="center" vertical="center"/>
      <protection hidden="1"/>
    </xf>
    <xf numFmtId="0" fontId="54" fillId="0" borderId="83" xfId="122" applyFont="1" applyBorder="1" applyAlignment="1">
      <alignment vertical="center"/>
    </xf>
    <xf numFmtId="0" fontId="54" fillId="0" borderId="96" xfId="122" applyFont="1" applyBorder="1" applyAlignment="1">
      <alignment vertical="center"/>
    </xf>
    <xf numFmtId="0" fontId="54" fillId="0" borderId="0" xfId="122" applyFont="1" applyAlignment="1">
      <alignment horizontal="left" vertical="center"/>
    </xf>
    <xf numFmtId="0" fontId="54" fillId="0" borderId="53" xfId="122" applyFont="1" applyBorder="1" applyAlignment="1">
      <alignment vertical="center"/>
    </xf>
    <xf numFmtId="0" fontId="54" fillId="0" borderId="33" xfId="122" applyFont="1" applyBorder="1" applyAlignment="1">
      <alignment vertical="center"/>
    </xf>
    <xf numFmtId="0" fontId="54" fillId="0" borderId="103" xfId="122" applyFont="1" applyBorder="1" applyAlignment="1" applyProtection="1">
      <alignment horizontal="right" vertical="center"/>
      <protection hidden="1"/>
    </xf>
    <xf numFmtId="0" fontId="54" fillId="0" borderId="35" xfId="122" applyFont="1" applyBorder="1" applyAlignment="1">
      <alignment vertical="center"/>
    </xf>
    <xf numFmtId="0" fontId="54" fillId="0" borderId="105" xfId="122" applyFont="1" applyBorder="1" applyAlignment="1">
      <alignment horizontal="right" vertical="center"/>
    </xf>
    <xf numFmtId="0" fontId="54" fillId="0" borderId="103" xfId="122" applyFont="1" applyBorder="1" applyAlignment="1">
      <alignment horizontal="right" vertical="center"/>
    </xf>
    <xf numFmtId="0" fontId="54" fillId="0" borderId="95" xfId="122" applyFont="1" applyBorder="1" applyAlignment="1">
      <alignment vertical="center"/>
    </xf>
    <xf numFmtId="0" fontId="54" fillId="0" borderId="83" xfId="122" applyFont="1" applyBorder="1" applyAlignment="1">
      <alignment horizontal="center" vertical="center"/>
    </xf>
    <xf numFmtId="0" fontId="51" fillId="0" borderId="0" xfId="122" applyFont="1" applyAlignment="1" applyProtection="1">
      <alignment horizontal="center" vertical="center"/>
      <protection hidden="1"/>
    </xf>
    <xf numFmtId="49" fontId="51" fillId="0" borderId="0" xfId="122" applyNumberFormat="1" applyFont="1" applyAlignment="1" applyProtection="1">
      <alignment vertical="center"/>
      <protection hidden="1"/>
    </xf>
    <xf numFmtId="0" fontId="51" fillId="0" borderId="0" xfId="122" applyFont="1" applyAlignment="1" applyProtection="1">
      <alignment horizontal="distributed" vertical="center"/>
      <protection locked="0"/>
    </xf>
    <xf numFmtId="0" fontId="51" fillId="0" borderId="0" xfId="122" applyFont="1" applyAlignment="1" applyProtection="1">
      <alignment horizontal="distributed" vertical="center"/>
      <protection hidden="1"/>
    </xf>
    <xf numFmtId="0" fontId="51" fillId="0" borderId="0" xfId="122" applyFont="1" applyAlignment="1" applyProtection="1">
      <alignment horizontal="left" vertical="center" wrapText="1"/>
      <protection hidden="1"/>
    </xf>
    <xf numFmtId="0" fontId="51" fillId="0" borderId="21" xfId="122" applyFont="1" applyBorder="1" applyAlignment="1" applyProtection="1">
      <alignment vertical="center"/>
      <protection locked="0"/>
    </xf>
    <xf numFmtId="0" fontId="51" fillId="0" borderId="21" xfId="122" applyFont="1" applyBorder="1" applyAlignment="1" applyProtection="1">
      <alignment vertical="center"/>
      <protection hidden="1"/>
    </xf>
    <xf numFmtId="0" fontId="51" fillId="0" borderId="0" xfId="122" applyFont="1" applyAlignment="1" applyProtection="1">
      <alignment horizontal="left" vertical="center"/>
      <protection hidden="1"/>
    </xf>
    <xf numFmtId="0" fontId="64" fillId="0" borderId="0" xfId="122" applyFont="1" applyAlignment="1" applyProtection="1">
      <alignment vertical="center"/>
      <protection hidden="1"/>
    </xf>
    <xf numFmtId="0" fontId="57" fillId="0" borderId="0" xfId="122" applyFont="1" applyAlignment="1" applyProtection="1">
      <alignment vertical="center"/>
      <protection hidden="1"/>
    </xf>
    <xf numFmtId="0" fontId="61" fillId="0" borderId="0" xfId="122" applyFont="1" applyAlignment="1" applyProtection="1">
      <alignment vertical="center"/>
      <protection hidden="1"/>
    </xf>
    <xf numFmtId="0" fontId="61" fillId="9" borderId="0" xfId="119" applyFont="1" applyFill="1" applyAlignment="1" applyProtection="1">
      <alignment vertical="center"/>
      <protection locked="0"/>
    </xf>
    <xf numFmtId="0" fontId="51" fillId="9" borderId="0" xfId="109" applyFont="1" applyFill="1" applyProtection="1">
      <protection hidden="1"/>
    </xf>
    <xf numFmtId="49" fontId="54" fillId="9" borderId="0" xfId="109" applyNumberFormat="1" applyFont="1" applyFill="1" applyProtection="1">
      <protection hidden="1"/>
    </xf>
    <xf numFmtId="0" fontId="66" fillId="9" borderId="0" xfId="71" applyFont="1" applyFill="1">
      <alignment vertical="center"/>
    </xf>
    <xf numFmtId="0" fontId="53" fillId="37" borderId="0" xfId="119" applyFont="1" applyFill="1" applyAlignment="1">
      <alignment horizontal="left" vertical="center"/>
    </xf>
    <xf numFmtId="0" fontId="53" fillId="37" borderId="3" xfId="119" applyFont="1" applyFill="1" applyBorder="1" applyAlignment="1">
      <alignment horizontal="left" vertical="center"/>
    </xf>
    <xf numFmtId="0" fontId="53" fillId="37" borderId="78" xfId="119" applyFont="1" applyFill="1" applyBorder="1" applyAlignment="1">
      <alignment horizontal="left" vertical="center"/>
    </xf>
    <xf numFmtId="0" fontId="54" fillId="0" borderId="0" xfId="109" applyFont="1"/>
    <xf numFmtId="0" fontId="51" fillId="37" borderId="0" xfId="108" applyFont="1" applyFill="1" applyAlignment="1" applyProtection="1">
      <alignment horizontal="left" vertical="center"/>
      <protection locked="0"/>
    </xf>
    <xf numFmtId="0" fontId="51" fillId="37" borderId="0" xfId="108" applyFont="1" applyFill="1" applyAlignment="1" applyProtection="1">
      <alignment horizontal="left" vertical="center"/>
      <protection hidden="1"/>
    </xf>
    <xf numFmtId="0" fontId="51" fillId="0" borderId="0" xfId="109" applyFont="1" applyAlignment="1" applyProtection="1">
      <alignment vertical="center"/>
      <protection hidden="1"/>
    </xf>
    <xf numFmtId="0" fontId="54" fillId="9" borderId="0" xfId="122" applyFont="1" applyFill="1" applyAlignment="1">
      <alignment vertical="center"/>
    </xf>
    <xf numFmtId="0" fontId="54" fillId="9" borderId="33" xfId="122" applyFont="1" applyFill="1" applyBorder="1" applyAlignment="1">
      <alignment vertical="center"/>
    </xf>
    <xf numFmtId="49" fontId="54" fillId="9" borderId="21" xfId="122" applyNumberFormat="1" applyFont="1" applyFill="1" applyBorder="1" applyAlignment="1">
      <alignment vertical="center"/>
    </xf>
    <xf numFmtId="0" fontId="51" fillId="37" borderId="0" xfId="121" applyFont="1" applyFill="1" applyAlignment="1" applyProtection="1">
      <alignment vertical="center"/>
      <protection locked="0"/>
    </xf>
    <xf numFmtId="0" fontId="51" fillId="9" borderId="0" xfId="121" applyFont="1" applyFill="1" applyAlignment="1" applyProtection="1">
      <alignment vertical="center"/>
      <protection hidden="1"/>
    </xf>
    <xf numFmtId="0" fontId="51" fillId="9" borderId="0" xfId="121" applyFont="1" applyFill="1" applyAlignment="1" applyProtection="1">
      <alignment horizontal="center" vertical="center"/>
      <protection hidden="1"/>
    </xf>
    <xf numFmtId="0" fontId="51" fillId="9" borderId="0" xfId="108" applyFont="1" applyFill="1" applyAlignment="1" applyProtection="1">
      <alignment horizontal="left" vertical="center"/>
      <protection hidden="1"/>
    </xf>
    <xf numFmtId="49" fontId="51" fillId="0" borderId="0" xfId="109" applyNumberFormat="1" applyFont="1" applyAlignment="1" applyProtection="1">
      <alignment horizontal="left" vertical="center"/>
      <protection hidden="1"/>
    </xf>
    <xf numFmtId="0" fontId="63" fillId="0" borderId="0" xfId="109" applyFont="1" applyAlignment="1">
      <alignment vertical="center"/>
    </xf>
    <xf numFmtId="0" fontId="62" fillId="37" borderId="0" xfId="107" applyFont="1" applyFill="1" applyAlignment="1">
      <alignment horizontal="center"/>
    </xf>
    <xf numFmtId="0" fontId="51" fillId="40" borderId="0" xfId="123" applyFont="1" applyFill="1" applyAlignment="1" applyProtection="1">
      <alignment vertical="center"/>
      <protection hidden="1"/>
    </xf>
    <xf numFmtId="0" fontId="51" fillId="40" borderId="0" xfId="123" applyFont="1" applyFill="1" applyProtection="1">
      <protection hidden="1"/>
    </xf>
    <xf numFmtId="0" fontId="55" fillId="0" borderId="0" xfId="123" applyFont="1"/>
    <xf numFmtId="0" fontId="9" fillId="0" borderId="0" xfId="55" applyFont="1"/>
    <xf numFmtId="0" fontId="19" fillId="9" borderId="78" xfId="106" applyFont="1" applyFill="1" applyBorder="1">
      <alignment vertical="center"/>
    </xf>
    <xf numFmtId="0" fontId="19" fillId="9" borderId="0" xfId="106" applyFont="1" applyFill="1" applyAlignment="1">
      <alignment horizontal="center" vertical="center"/>
    </xf>
    <xf numFmtId="49" fontId="19" fillId="0" borderId="0" xfId="106" applyNumberFormat="1" applyFont="1" applyAlignment="1">
      <alignment horizontal="center" vertical="center"/>
    </xf>
    <xf numFmtId="49" fontId="19" fillId="0" borderId="0" xfId="106" applyNumberFormat="1" applyFont="1">
      <alignment vertical="center"/>
    </xf>
    <xf numFmtId="0" fontId="10" fillId="12" borderId="0" xfId="0" applyFont="1">
      <alignment vertical="center"/>
    </xf>
    <xf numFmtId="0" fontId="8" fillId="10" borderId="0" xfId="0" applyFont="1" applyFill="1" applyAlignment="1">
      <alignment horizontal="center" vertical="center"/>
    </xf>
    <xf numFmtId="0" fontId="8" fillId="2" borderId="51" xfId="0" applyFont="1" applyFill="1" applyBorder="1" applyAlignment="1">
      <alignment horizontal="left" vertical="center" wrapText="1"/>
    </xf>
    <xf numFmtId="0" fontId="8" fillId="2" borderId="52" xfId="0" applyFont="1" applyFill="1" applyBorder="1" applyAlignment="1">
      <alignment horizontal="left" vertical="center" wrapText="1"/>
    </xf>
    <xf numFmtId="0" fontId="15" fillId="4" borderId="0" xfId="0" applyFont="1" applyFill="1" applyAlignment="1" applyProtection="1">
      <alignment vertical="center" shrinkToFit="1"/>
      <protection locked="0"/>
    </xf>
    <xf numFmtId="0" fontId="0" fillId="4" borderId="0" xfId="0" applyFill="1" applyAlignment="1" applyProtection="1">
      <alignment vertical="center" shrinkToFit="1"/>
      <protection locked="0"/>
    </xf>
    <xf numFmtId="0" fontId="15" fillId="4" borderId="0" xfId="0" applyFont="1" applyFill="1" applyAlignment="1">
      <alignment vertical="center" shrinkToFit="1"/>
    </xf>
    <xf numFmtId="0" fontId="0" fillId="4" borderId="0" xfId="0" applyFill="1" applyAlignment="1">
      <alignment vertical="center" shrinkToFit="1"/>
    </xf>
    <xf numFmtId="0" fontId="15" fillId="4" borderId="21" xfId="0" applyFont="1" applyFill="1" applyBorder="1" applyAlignment="1" applyProtection="1">
      <alignment vertical="center" shrinkToFit="1"/>
      <protection locked="0"/>
    </xf>
    <xf numFmtId="0" fontId="0" fillId="4" borderId="21" xfId="0" applyFill="1" applyBorder="1" applyAlignment="1" applyProtection="1">
      <alignment vertical="center" shrinkToFit="1"/>
      <protection locked="0"/>
    </xf>
    <xf numFmtId="0" fontId="15" fillId="12" borderId="21" xfId="0" applyFont="1" applyBorder="1" applyAlignment="1">
      <alignment horizontal="center" vertical="center"/>
    </xf>
    <xf numFmtId="0" fontId="15" fillId="5" borderId="64" xfId="0" applyFont="1" applyFill="1" applyBorder="1" applyAlignment="1" applyProtection="1">
      <alignment horizontal="center" vertical="center"/>
      <protection locked="0" hidden="1"/>
    </xf>
    <xf numFmtId="0" fontId="0" fillId="5" borderId="64" xfId="0" applyFill="1" applyBorder="1" applyAlignment="1" applyProtection="1">
      <alignment horizontal="center" vertical="center"/>
      <protection locked="0" hidden="1"/>
    </xf>
    <xf numFmtId="0" fontId="15" fillId="4" borderId="64" xfId="0" applyFont="1" applyFill="1" applyBorder="1" applyAlignment="1" applyProtection="1">
      <alignment vertical="center" shrinkToFit="1"/>
      <protection locked="0"/>
    </xf>
    <xf numFmtId="0" fontId="0" fillId="4" borderId="64" xfId="0" applyFill="1" applyBorder="1" applyAlignment="1" applyProtection="1">
      <alignment vertical="center" shrinkToFit="1"/>
      <protection locked="0"/>
    </xf>
    <xf numFmtId="0" fontId="15" fillId="5" borderId="0" xfId="0" applyFont="1" applyFill="1" applyAlignment="1" applyProtection="1">
      <alignment horizontal="center" vertical="center"/>
      <protection locked="0" hidden="1"/>
    </xf>
    <xf numFmtId="0" fontId="0" fillId="5" borderId="0" xfId="0" applyFill="1" applyAlignment="1" applyProtection="1">
      <alignment horizontal="center" vertical="center"/>
      <protection locked="0" hidden="1"/>
    </xf>
    <xf numFmtId="0" fontId="15" fillId="4" borderId="0" xfId="0" applyFont="1" applyFill="1" applyProtection="1">
      <alignment vertical="center"/>
      <protection locked="0"/>
    </xf>
    <xf numFmtId="0" fontId="15" fillId="4" borderId="0" xfId="0" applyFont="1" applyFill="1" applyAlignment="1" applyProtection="1">
      <alignment vertical="center" shrinkToFit="1"/>
      <protection locked="0" hidden="1"/>
    </xf>
    <xf numFmtId="177" fontId="15" fillId="3" borderId="65" xfId="0" applyNumberFormat="1" applyFont="1" applyFill="1" applyBorder="1" applyAlignment="1" applyProtection="1">
      <alignment horizontal="right" vertical="center" shrinkToFit="1"/>
      <protection locked="0" hidden="1"/>
    </xf>
    <xf numFmtId="177" fontId="0" fillId="3" borderId="65" xfId="0" applyNumberFormat="1" applyFill="1" applyBorder="1" applyAlignment="1" applyProtection="1">
      <alignment vertical="center" shrinkToFit="1"/>
      <protection locked="0" hidden="1"/>
    </xf>
    <xf numFmtId="0" fontId="0" fillId="4" borderId="0" xfId="0" applyFill="1" applyProtection="1">
      <alignment vertical="center"/>
      <protection locked="0"/>
    </xf>
    <xf numFmtId="0" fontId="15" fillId="12" borderId="0" xfId="0" applyFont="1" applyAlignment="1">
      <alignment vertical="center" shrinkToFit="1"/>
    </xf>
    <xf numFmtId="0" fontId="0" fillId="12" borderId="0" xfId="0" applyAlignment="1">
      <alignment vertical="center" shrinkToFit="1"/>
    </xf>
    <xf numFmtId="0" fontId="15" fillId="3" borderId="0" xfId="0" applyFont="1" applyFill="1" applyAlignment="1" applyProtection="1">
      <alignment horizontal="center" vertical="center" shrinkToFit="1"/>
      <protection locked="0" hidden="1"/>
    </xf>
    <xf numFmtId="0" fontId="15" fillId="9" borderId="0" xfId="0" applyFont="1" applyFill="1" applyAlignment="1" applyProtection="1">
      <alignment horizontal="center" vertical="center" shrinkToFit="1"/>
      <protection locked="0" hidden="1"/>
    </xf>
    <xf numFmtId="0" fontId="15" fillId="3" borderId="21" xfId="0" applyFont="1" applyFill="1" applyBorder="1" applyAlignment="1" applyProtection="1">
      <alignment horizontal="center" vertical="center" shrinkToFit="1"/>
      <protection locked="0" hidden="1"/>
    </xf>
    <xf numFmtId="0" fontId="0" fillId="3" borderId="21" xfId="0" applyFill="1" applyBorder="1" applyAlignment="1" applyProtection="1">
      <alignment horizontal="center" vertical="center" shrinkToFit="1"/>
      <protection locked="0" hidden="1"/>
    </xf>
    <xf numFmtId="177" fontId="15" fillId="3" borderId="0" xfId="0" applyNumberFormat="1" applyFont="1" applyFill="1" applyAlignment="1" applyProtection="1">
      <alignment horizontal="right" vertical="center" shrinkToFit="1"/>
      <protection locked="0" hidden="1"/>
    </xf>
    <xf numFmtId="177" fontId="0" fillId="3" borderId="0" xfId="0" applyNumberFormat="1" applyFill="1" applyAlignment="1" applyProtection="1">
      <alignment vertical="center" shrinkToFit="1"/>
      <protection locked="0" hidden="1"/>
    </xf>
    <xf numFmtId="177" fontId="15" fillId="9" borderId="0" xfId="0" applyNumberFormat="1" applyFont="1" applyFill="1" applyAlignment="1" applyProtection="1">
      <alignment horizontal="right" vertical="center" shrinkToFit="1"/>
      <protection locked="0" hidden="1"/>
    </xf>
    <xf numFmtId="177" fontId="0" fillId="9" borderId="0" xfId="0" applyNumberFormat="1" applyFill="1" applyAlignment="1" applyProtection="1">
      <alignment vertical="center" shrinkToFit="1"/>
      <protection locked="0" hidden="1"/>
    </xf>
    <xf numFmtId="0" fontId="0" fillId="12" borderId="0" xfId="0">
      <alignment vertical="center"/>
    </xf>
    <xf numFmtId="0" fontId="15" fillId="4" borderId="0" xfId="0" applyFont="1" applyFill="1" applyAlignment="1" applyProtection="1">
      <alignment horizontal="right" vertical="center"/>
      <protection locked="0"/>
    </xf>
    <xf numFmtId="0" fontId="15" fillId="5" borderId="21" xfId="0" applyFont="1" applyFill="1" applyBorder="1" applyAlignment="1" applyProtection="1">
      <alignment horizontal="center" vertical="center"/>
      <protection locked="0" hidden="1"/>
    </xf>
    <xf numFmtId="0" fontId="0" fillId="5" borderId="21" xfId="0" applyFill="1" applyBorder="1" applyAlignment="1" applyProtection="1">
      <alignment horizontal="center" vertical="center"/>
      <protection locked="0" hidden="1"/>
    </xf>
    <xf numFmtId="188" fontId="15" fillId="12" borderId="0" xfId="0" applyNumberFormat="1" applyFont="1" applyAlignment="1">
      <alignment horizontal="right" vertical="center"/>
    </xf>
    <xf numFmtId="188" fontId="15" fillId="12" borderId="21" xfId="0" applyNumberFormat="1" applyFont="1" applyBorder="1" applyAlignment="1">
      <alignment horizontal="right" vertical="center"/>
    </xf>
    <xf numFmtId="0" fontId="15" fillId="3" borderId="0" xfId="0" applyFont="1" applyFill="1" applyAlignment="1" applyProtection="1">
      <alignment vertical="center" wrapText="1"/>
      <protection locked="0" hidden="1"/>
    </xf>
    <xf numFmtId="0" fontId="14" fillId="3" borderId="0" xfId="0" applyFont="1" applyFill="1" applyAlignment="1" applyProtection="1">
      <alignment vertical="center" wrapText="1"/>
      <protection locked="0" hidden="1"/>
    </xf>
    <xf numFmtId="0" fontId="15" fillId="3" borderId="0" xfId="0" applyFont="1" applyFill="1" applyAlignment="1" applyProtection="1">
      <alignment vertical="center" shrinkToFit="1"/>
      <protection locked="0" hidden="1"/>
    </xf>
    <xf numFmtId="0" fontId="0" fillId="3" borderId="0" xfId="0" applyFill="1" applyAlignment="1" applyProtection="1">
      <alignment vertical="center" shrinkToFit="1"/>
      <protection locked="0" hidden="1"/>
    </xf>
    <xf numFmtId="0" fontId="0" fillId="12" borderId="0" xfId="0" applyAlignment="1" applyProtection="1">
      <alignment vertical="center" shrinkToFit="1"/>
      <protection locked="0" hidden="1"/>
    </xf>
    <xf numFmtId="0" fontId="15" fillId="3" borderId="21" xfId="0" applyFont="1" applyFill="1" applyBorder="1" applyAlignment="1" applyProtection="1">
      <alignment vertical="center" shrinkToFit="1"/>
      <protection locked="0" hidden="1"/>
    </xf>
    <xf numFmtId="0" fontId="0" fillId="12" borderId="21" xfId="0" applyBorder="1" applyAlignment="1" applyProtection="1">
      <alignment vertical="center" shrinkToFit="1"/>
      <protection locked="0" hidden="1"/>
    </xf>
    <xf numFmtId="0" fontId="15" fillId="3" borderId="0" xfId="0" applyFont="1" applyFill="1" applyAlignment="1" applyProtection="1">
      <alignment horizontal="center" vertical="center" shrinkToFit="1"/>
      <protection locked="0"/>
    </xf>
    <xf numFmtId="0" fontId="0" fillId="3" borderId="0" xfId="0" applyFill="1" applyAlignment="1" applyProtection="1">
      <alignment horizontal="center" vertical="center" shrinkToFit="1"/>
      <protection locked="0"/>
    </xf>
    <xf numFmtId="0" fontId="15" fillId="3" borderId="21" xfId="0" applyFont="1" applyFill="1" applyBorder="1" applyProtection="1">
      <alignment vertical="center"/>
      <protection locked="0"/>
    </xf>
    <xf numFmtId="0" fontId="0" fillId="3" borderId="21" xfId="0" applyFill="1" applyBorder="1">
      <alignment vertical="center"/>
    </xf>
    <xf numFmtId="0" fontId="15" fillId="12" borderId="0" xfId="0" applyFont="1" applyAlignment="1">
      <alignment horizontal="center" vertical="center"/>
    </xf>
    <xf numFmtId="0" fontId="16" fillId="12" borderId="0" xfId="0" applyFont="1" applyAlignment="1">
      <alignment horizontal="center" vertical="center"/>
    </xf>
    <xf numFmtId="0" fontId="16" fillId="12" borderId="0" xfId="0" applyFont="1">
      <alignment vertical="center"/>
    </xf>
    <xf numFmtId="0" fontId="15" fillId="12" borderId="0" xfId="0" applyFont="1">
      <alignment vertical="center"/>
    </xf>
    <xf numFmtId="0" fontId="15" fillId="3" borderId="21" xfId="0" applyFont="1" applyFill="1" applyBorder="1" applyAlignment="1" applyProtection="1">
      <alignment horizontal="right" vertical="center" shrinkToFit="1"/>
      <protection locked="0"/>
    </xf>
    <xf numFmtId="0" fontId="0" fillId="3" borderId="21" xfId="0" applyFill="1" applyBorder="1" applyAlignment="1" applyProtection="1">
      <alignment horizontal="right" vertical="center" shrinkToFit="1"/>
      <protection locked="0"/>
    </xf>
    <xf numFmtId="0" fontId="15" fillId="3" borderId="0" xfId="0" applyFont="1" applyFill="1" applyAlignment="1" applyProtection="1">
      <alignment vertical="center" wrapText="1" shrinkToFit="1"/>
      <protection locked="0" hidden="1"/>
    </xf>
    <xf numFmtId="0" fontId="14" fillId="3" borderId="0" xfId="0" applyFont="1" applyFill="1" applyAlignment="1" applyProtection="1">
      <alignment vertical="center" shrinkToFit="1"/>
      <protection locked="0" hidden="1"/>
    </xf>
    <xf numFmtId="0" fontId="14" fillId="12" borderId="0" xfId="0" applyFont="1" applyAlignment="1">
      <alignment horizontal="center" vertical="center"/>
    </xf>
    <xf numFmtId="0" fontId="14" fillId="12" borderId="21" xfId="0" applyFont="1" applyBorder="1" applyAlignment="1">
      <alignment horizontal="center" vertical="center"/>
    </xf>
    <xf numFmtId="0" fontId="18" fillId="8" borderId="0" xfId="129" applyFont="1" applyFill="1" applyAlignment="1">
      <alignment horizontal="left" vertical="center"/>
    </xf>
    <xf numFmtId="0" fontId="18" fillId="8" borderId="0" xfId="129" applyFont="1" applyFill="1">
      <alignment vertical="center"/>
    </xf>
    <xf numFmtId="0" fontId="18" fillId="9" borderId="0" xfId="129" applyFont="1" applyFill="1">
      <alignment vertical="center"/>
    </xf>
    <xf numFmtId="0" fontId="18" fillId="8" borderId="0" xfId="129" applyFont="1" applyFill="1" applyAlignment="1">
      <alignment horizontal="left" vertical="center" shrinkToFit="1"/>
    </xf>
    <xf numFmtId="0" fontId="18" fillId="0" borderId="0" xfId="129" applyFont="1">
      <alignment vertical="center"/>
    </xf>
    <xf numFmtId="0" fontId="0" fillId="12" borderId="0" xfId="0" applyAlignment="1">
      <alignment horizontal="left" vertical="center"/>
    </xf>
    <xf numFmtId="0" fontId="44" fillId="0" borderId="0" xfId="129" applyFont="1" applyAlignment="1">
      <alignment horizontal="center" vertical="center"/>
    </xf>
    <xf numFmtId="0" fontId="3" fillId="0" borderId="0" xfId="129">
      <alignment vertical="center"/>
    </xf>
    <xf numFmtId="0" fontId="19" fillId="0" borderId="83" xfId="106" applyFont="1" applyBorder="1" applyAlignment="1">
      <alignment horizontal="center" vertical="center" wrapText="1"/>
    </xf>
    <xf numFmtId="0" fontId="19" fillId="0" borderId="10" xfId="106" applyFont="1" applyBorder="1" applyAlignment="1">
      <alignment horizontal="center" vertical="center" wrapText="1"/>
    </xf>
    <xf numFmtId="0" fontId="19" fillId="0" borderId="0" xfId="106" applyFont="1" applyAlignment="1">
      <alignment horizontal="center" vertical="center" wrapText="1"/>
    </xf>
    <xf numFmtId="0" fontId="19" fillId="0" borderId="47" xfId="106" applyFont="1" applyBorder="1" applyAlignment="1">
      <alignment horizontal="center" vertical="center" wrapText="1"/>
    </xf>
    <xf numFmtId="0" fontId="19" fillId="0" borderId="21" xfId="106" applyFont="1" applyBorder="1" applyAlignment="1">
      <alignment horizontal="center" vertical="center" wrapText="1"/>
    </xf>
    <xf numFmtId="0" fontId="19" fillId="0" borderId="49" xfId="106" applyFont="1" applyBorder="1" applyAlignment="1">
      <alignment horizontal="center" vertical="center" wrapText="1"/>
    </xf>
    <xf numFmtId="0" fontId="19" fillId="0" borderId="83" xfId="106" applyFont="1" applyBorder="1" applyAlignment="1">
      <alignment horizontal="center" vertical="center"/>
    </xf>
    <xf numFmtId="0" fontId="19" fillId="0" borderId="10" xfId="106" applyFont="1" applyBorder="1" applyAlignment="1">
      <alignment horizontal="center" vertical="center"/>
    </xf>
    <xf numFmtId="0" fontId="19" fillId="0" borderId="21" xfId="106" applyFont="1" applyBorder="1" applyAlignment="1">
      <alignment horizontal="center" vertical="center"/>
    </xf>
    <xf numFmtId="0" fontId="19" fillId="0" borderId="49" xfId="106" applyFont="1" applyBorder="1" applyAlignment="1">
      <alignment horizontal="center" vertical="center"/>
    </xf>
    <xf numFmtId="49" fontId="19" fillId="9" borderId="0" xfId="106" applyNumberFormat="1" applyFont="1" applyFill="1" applyAlignment="1">
      <alignment horizontal="center" vertical="center"/>
    </xf>
    <xf numFmtId="0" fontId="19" fillId="0" borderId="87" xfId="106" applyFont="1" applyBorder="1" applyAlignment="1">
      <alignment horizontal="center" vertical="center"/>
    </xf>
    <xf numFmtId="0" fontId="19" fillId="0" borderId="89" xfId="106" applyFont="1" applyBorder="1" applyAlignment="1">
      <alignment horizontal="center" vertical="center"/>
    </xf>
    <xf numFmtId="0" fontId="19" fillId="8" borderId="1" xfId="106" applyFont="1" applyFill="1" applyBorder="1" applyAlignment="1">
      <alignment horizontal="left" vertical="center" wrapText="1"/>
    </xf>
    <xf numFmtId="0" fontId="19" fillId="8" borderId="83" xfId="106" applyFont="1" applyFill="1" applyBorder="1" applyAlignment="1">
      <alignment horizontal="left" vertical="center" wrapText="1"/>
    </xf>
    <xf numFmtId="0" fontId="19" fillId="8" borderId="85" xfId="106" applyFont="1" applyFill="1" applyBorder="1" applyAlignment="1">
      <alignment horizontal="left" vertical="center" wrapText="1"/>
    </xf>
    <xf numFmtId="0" fontId="19" fillId="8" borderId="48" xfId="106" applyFont="1" applyFill="1" applyBorder="1" applyAlignment="1">
      <alignment horizontal="left" vertical="center" wrapText="1"/>
    </xf>
    <xf numFmtId="0" fontId="19" fillId="8" borderId="21" xfId="106" applyFont="1" applyFill="1" applyBorder="1" applyAlignment="1">
      <alignment horizontal="left" vertical="center" wrapText="1"/>
    </xf>
    <xf numFmtId="0" fontId="19" fillId="8" borderId="80" xfId="106" applyFont="1" applyFill="1" applyBorder="1" applyAlignment="1">
      <alignment horizontal="left" vertical="center" wrapText="1"/>
    </xf>
    <xf numFmtId="0" fontId="19" fillId="8" borderId="88" xfId="106" applyFont="1" applyFill="1" applyBorder="1" applyAlignment="1">
      <alignment horizontal="left" vertical="center" wrapText="1"/>
    </xf>
    <xf numFmtId="0" fontId="19" fillId="8" borderId="87" xfId="106" applyFont="1" applyFill="1" applyBorder="1" applyAlignment="1">
      <alignment horizontal="left" vertical="center" wrapText="1"/>
    </xf>
    <xf numFmtId="0" fontId="19" fillId="8" borderId="86" xfId="106" applyFont="1" applyFill="1" applyBorder="1" applyAlignment="1">
      <alignment horizontal="left" vertical="center" wrapText="1"/>
    </xf>
    <xf numFmtId="0" fontId="19" fillId="8" borderId="10" xfId="106" applyFont="1" applyFill="1" applyBorder="1" applyAlignment="1">
      <alignment horizontal="left" vertical="center" wrapText="1"/>
    </xf>
    <xf numFmtId="0" fontId="19" fillId="8" borderId="49" xfId="106" applyFont="1" applyFill="1" applyBorder="1" applyAlignment="1">
      <alignment horizontal="left" vertical="center" wrapText="1"/>
    </xf>
    <xf numFmtId="0" fontId="19" fillId="0" borderId="90" xfId="106" applyFont="1" applyBorder="1" applyAlignment="1">
      <alignment horizontal="center" vertical="center" wrapText="1"/>
    </xf>
    <xf numFmtId="0" fontId="19" fillId="0" borderId="87" xfId="106" applyFont="1" applyBorder="1" applyAlignment="1">
      <alignment horizontal="center" vertical="center" wrapText="1"/>
    </xf>
    <xf numFmtId="0" fontId="19" fillId="0" borderId="89" xfId="106" applyFont="1" applyBorder="1" applyAlignment="1">
      <alignment horizontal="center" vertical="center" wrapText="1"/>
    </xf>
    <xf numFmtId="0" fontId="19" fillId="0" borderId="81" xfId="106" applyFont="1" applyBorder="1" applyAlignment="1">
      <alignment horizontal="center" vertical="center" wrapText="1"/>
    </xf>
    <xf numFmtId="0" fontId="19" fillId="0" borderId="84" xfId="106" applyFont="1" applyBorder="1" applyAlignment="1">
      <alignment horizontal="center" vertical="center"/>
    </xf>
    <xf numFmtId="0" fontId="19" fillId="0" borderId="81" xfId="106" applyFont="1" applyBorder="1" applyAlignment="1">
      <alignment horizontal="center" vertical="center"/>
    </xf>
    <xf numFmtId="182" fontId="19" fillId="9" borderId="87" xfId="106" applyNumberFormat="1" applyFont="1" applyFill="1" applyBorder="1" applyAlignment="1">
      <alignment horizontal="center" vertical="center"/>
    </xf>
    <xf numFmtId="182" fontId="19" fillId="9" borderId="21" xfId="106" applyNumberFormat="1" applyFont="1" applyFill="1" applyBorder="1" applyAlignment="1">
      <alignment horizontal="center" vertical="center"/>
    </xf>
    <xf numFmtId="183" fontId="19" fillId="9" borderId="87" xfId="106" applyNumberFormat="1" applyFont="1" applyFill="1" applyBorder="1" applyAlignment="1">
      <alignment horizontal="center" vertical="center"/>
    </xf>
    <xf numFmtId="183" fontId="19" fillId="9" borderId="21" xfId="106" applyNumberFormat="1" applyFont="1" applyFill="1" applyBorder="1" applyAlignment="1">
      <alignment horizontal="center" vertical="center"/>
    </xf>
    <xf numFmtId="0" fontId="19" fillId="0" borderId="88" xfId="106" applyFont="1" applyBorder="1" applyAlignment="1">
      <alignment horizontal="center" vertical="center"/>
    </xf>
    <xf numFmtId="0" fontId="19" fillId="0" borderId="48" xfId="106" applyFont="1" applyBorder="1" applyAlignment="1">
      <alignment horizontal="center" vertical="center"/>
    </xf>
    <xf numFmtId="0" fontId="19" fillId="0" borderId="79" xfId="106" applyFont="1" applyBorder="1" applyAlignment="1">
      <alignment horizontal="center" vertical="center"/>
    </xf>
    <xf numFmtId="0" fontId="19" fillId="0" borderId="78" xfId="106" applyFont="1" applyBorder="1" applyAlignment="1">
      <alignment horizontal="center" vertical="center"/>
    </xf>
    <xf numFmtId="0" fontId="19" fillId="0" borderId="7" xfId="106" applyFont="1" applyBorder="1" applyAlignment="1">
      <alignment horizontal="center" vertical="center"/>
    </xf>
    <xf numFmtId="0" fontId="19" fillId="0" borderId="84" xfId="106" applyFont="1" applyBorder="1" applyAlignment="1">
      <alignment horizontal="center" vertical="center" wrapText="1"/>
    </xf>
    <xf numFmtId="0" fontId="19" fillId="9" borderId="21" xfId="106" applyFont="1" applyFill="1" applyBorder="1" applyAlignment="1">
      <alignment horizontal="center" vertical="center"/>
    </xf>
    <xf numFmtId="184" fontId="19" fillId="9" borderId="87" xfId="106" applyNumberFormat="1" applyFont="1" applyFill="1" applyBorder="1" applyAlignment="1">
      <alignment horizontal="center" vertical="center"/>
    </xf>
    <xf numFmtId="184" fontId="19" fillId="9" borderId="21" xfId="106" applyNumberFormat="1" applyFont="1" applyFill="1" applyBorder="1" applyAlignment="1">
      <alignment horizontal="center" vertical="center"/>
    </xf>
    <xf numFmtId="0" fontId="45" fillId="0" borderId="0" xfId="106" applyFont="1" applyAlignment="1">
      <alignment horizontal="left" vertical="center" wrapText="1"/>
    </xf>
    <xf numFmtId="0" fontId="45" fillId="0" borderId="0" xfId="106" applyFont="1" applyAlignment="1">
      <alignment horizontal="left" vertical="center"/>
    </xf>
    <xf numFmtId="0" fontId="19" fillId="0" borderId="95" xfId="106" applyFont="1" applyBorder="1" applyAlignment="1">
      <alignment horizontal="center" vertical="center" wrapText="1"/>
    </xf>
    <xf numFmtId="58" fontId="14" fillId="0" borderId="0" xfId="107" applyNumberFormat="1" applyFont="1" applyAlignment="1">
      <alignment horizontal="center" vertical="center"/>
    </xf>
    <xf numFmtId="58" fontId="15" fillId="0" borderId="0" xfId="107" applyNumberFormat="1" applyFont="1" applyAlignment="1">
      <alignment horizontal="center" vertical="center"/>
    </xf>
    <xf numFmtId="0" fontId="15" fillId="9" borderId="0" xfId="107" applyFont="1" applyFill="1" applyAlignment="1">
      <alignment horizontal="center"/>
    </xf>
    <xf numFmtId="0" fontId="8" fillId="9" borderId="0" xfId="107" applyFont="1" applyFill="1"/>
    <xf numFmtId="0" fontId="15" fillId="0" borderId="0" xfId="107" applyFont="1" applyAlignment="1">
      <alignment horizontal="distributed"/>
    </xf>
    <xf numFmtId="0" fontId="15" fillId="8" borderId="0" xfId="107" applyFont="1" applyFill="1" applyAlignment="1">
      <alignment horizontal="center" vertical="center"/>
    </xf>
    <xf numFmtId="0" fontId="56" fillId="0" borderId="60" xfId="107" applyFont="1" applyBorder="1" applyProtection="1">
      <protection hidden="1"/>
    </xf>
    <xf numFmtId="0" fontId="56" fillId="0" borderId="0" xfId="107" applyFont="1" applyProtection="1">
      <protection hidden="1"/>
    </xf>
    <xf numFmtId="0" fontId="7" fillId="0" borderId="0" xfId="107"/>
    <xf numFmtId="0" fontId="54" fillId="0" borderId="0" xfId="107" applyFont="1" applyAlignment="1" applyProtection="1">
      <alignment horizontal="center" vertical="center"/>
      <protection hidden="1"/>
    </xf>
    <xf numFmtId="0" fontId="54" fillId="37" borderId="0" xfId="107" applyFont="1" applyFill="1" applyAlignment="1" applyProtection="1">
      <alignment horizontal="left" vertical="center"/>
      <protection hidden="1"/>
    </xf>
    <xf numFmtId="0" fontId="8" fillId="37" borderId="0" xfId="107" applyFont="1" applyFill="1" applyAlignment="1">
      <alignment horizontal="left"/>
    </xf>
    <xf numFmtId="0" fontId="15" fillId="0" borderId="60" xfId="107" applyFont="1" applyBorder="1" applyAlignment="1">
      <alignment horizontal="distributed"/>
    </xf>
    <xf numFmtId="0" fontId="15" fillId="0" borderId="47" xfId="107" applyFont="1" applyBorder="1" applyAlignment="1">
      <alignment horizontal="distributed"/>
    </xf>
    <xf numFmtId="0" fontId="15" fillId="8" borderId="0" xfId="107" applyFont="1" applyFill="1" applyAlignment="1">
      <alignment horizontal="center"/>
    </xf>
    <xf numFmtId="0" fontId="15" fillId="0" borderId="60" xfId="107" applyFont="1" applyBorder="1" applyAlignment="1">
      <alignment horizontal="center"/>
    </xf>
    <xf numFmtId="0" fontId="15" fillId="0" borderId="0" xfId="107" applyFont="1" applyAlignment="1">
      <alignment horizontal="center"/>
    </xf>
    <xf numFmtId="0" fontId="15" fillId="0" borderId="47" xfId="107" applyFont="1" applyBorder="1" applyAlignment="1">
      <alignment horizontal="center"/>
    </xf>
    <xf numFmtId="58" fontId="7" fillId="0" borderId="0" xfId="107" applyNumberFormat="1" applyAlignment="1">
      <alignment horizontal="center" vertical="center"/>
    </xf>
    <xf numFmtId="0" fontId="51" fillId="0" borderId="0" xfId="107" applyFont="1" applyAlignment="1" applyProtection="1">
      <alignment horizontal="left" vertical="center"/>
      <protection hidden="1"/>
    </xf>
    <xf numFmtId="0" fontId="51" fillId="0" borderId="0" xfId="107" applyFont="1" applyAlignment="1" applyProtection="1">
      <alignment horizontal="center" vertical="center"/>
      <protection hidden="1"/>
    </xf>
    <xf numFmtId="0" fontId="8" fillId="8" borderId="0" xfId="107" applyFont="1" applyFill="1"/>
    <xf numFmtId="0" fontId="15" fillId="8" borderId="60" xfId="107" applyFont="1" applyFill="1" applyBorder="1" applyAlignment="1">
      <alignment horizontal="center" vertical="center"/>
    </xf>
    <xf numFmtId="0" fontId="15" fillId="8" borderId="47" xfId="107" applyFont="1" applyFill="1" applyBorder="1" applyAlignment="1">
      <alignment horizontal="center" vertical="center"/>
    </xf>
    <xf numFmtId="0" fontId="15" fillId="8" borderId="60" xfId="107" applyFont="1" applyFill="1" applyBorder="1" applyAlignment="1">
      <alignment horizontal="center" wrapText="1"/>
    </xf>
    <xf numFmtId="0" fontId="15" fillId="8" borderId="0" xfId="107" applyFont="1" applyFill="1" applyAlignment="1">
      <alignment horizontal="center" wrapText="1"/>
    </xf>
    <xf numFmtId="0" fontId="15" fillId="8" borderId="47" xfId="107" applyFont="1" applyFill="1" applyBorder="1" applyAlignment="1">
      <alignment horizontal="center" wrapText="1"/>
    </xf>
    <xf numFmtId="0" fontId="50" fillId="0" borderId="60" xfId="107" applyFont="1" applyBorder="1" applyAlignment="1">
      <alignment horizontal="center"/>
    </xf>
    <xf numFmtId="0" fontId="50" fillId="0" borderId="0" xfId="107" applyFont="1" applyAlignment="1">
      <alignment horizontal="center"/>
    </xf>
    <xf numFmtId="0" fontId="50" fillId="0" borderId="47" xfId="107" applyFont="1" applyBorder="1" applyAlignment="1">
      <alignment horizontal="center"/>
    </xf>
    <xf numFmtId="0" fontId="15" fillId="0" borderId="21" xfId="107" applyFont="1" applyBorder="1" applyAlignment="1">
      <alignment horizontal="center"/>
    </xf>
    <xf numFmtId="0" fontId="15" fillId="0" borderId="3" xfId="107" applyFont="1" applyBorder="1" applyAlignment="1">
      <alignment horizontal="center"/>
    </xf>
    <xf numFmtId="0" fontId="15" fillId="0" borderId="78" xfId="107" applyFont="1" applyBorder="1" applyAlignment="1">
      <alignment horizontal="center"/>
    </xf>
    <xf numFmtId="0" fontId="15" fillId="0" borderId="7" xfId="107" applyFont="1" applyBorder="1" applyAlignment="1">
      <alignment horizontal="center"/>
    </xf>
    <xf numFmtId="0" fontId="15" fillId="0" borderId="3" xfId="107" applyFont="1" applyBorder="1" applyAlignment="1">
      <alignment horizontal="center" vertical="center"/>
    </xf>
    <xf numFmtId="0" fontId="7" fillId="0" borderId="78" xfId="107" applyBorder="1" applyAlignment="1">
      <alignment horizontal="center" vertical="center"/>
    </xf>
    <xf numFmtId="0" fontId="7" fillId="0" borderId="7" xfId="107" applyBorder="1" applyAlignment="1">
      <alignment horizontal="center" vertical="center"/>
    </xf>
    <xf numFmtId="0" fontId="49" fillId="0" borderId="60" xfId="107" applyFont="1" applyBorder="1" applyAlignment="1">
      <alignment horizontal="center"/>
    </xf>
    <xf numFmtId="0" fontId="49" fillId="0" borderId="0" xfId="107" applyFont="1" applyAlignment="1">
      <alignment horizontal="center"/>
    </xf>
    <xf numFmtId="0" fontId="49" fillId="0" borderId="47" xfId="107" applyFont="1" applyBorder="1" applyAlignment="1">
      <alignment horizontal="center"/>
    </xf>
    <xf numFmtId="0" fontId="15" fillId="0" borderId="78" xfId="107" applyFont="1" applyBorder="1" applyAlignment="1">
      <alignment horizontal="center" vertical="center"/>
    </xf>
    <xf numFmtId="0" fontId="15" fillId="0" borderId="7" xfId="107" applyFont="1" applyBorder="1" applyAlignment="1">
      <alignment horizontal="center" vertical="center"/>
    </xf>
    <xf numFmtId="0" fontId="50" fillId="0" borderId="48" xfId="107" applyFont="1" applyBorder="1" applyAlignment="1">
      <alignment horizontal="center"/>
    </xf>
    <xf numFmtId="0" fontId="50" fillId="0" borderId="21" xfId="107" applyFont="1" applyBorder="1" applyAlignment="1">
      <alignment horizontal="center"/>
    </xf>
    <xf numFmtId="0" fontId="50" fillId="0" borderId="49" xfId="107" applyFont="1" applyBorder="1" applyAlignment="1">
      <alignment horizontal="center"/>
    </xf>
    <xf numFmtId="0" fontId="65" fillId="0" borderId="0" xfId="109" applyFont="1" applyAlignment="1" applyProtection="1">
      <alignment horizontal="center"/>
      <protection hidden="1"/>
    </xf>
    <xf numFmtId="0" fontId="7" fillId="0" borderId="0" xfId="109"/>
    <xf numFmtId="0" fontId="54" fillId="0" borderId="0" xfId="137" applyFont="1" applyAlignment="1">
      <alignment horizontal="left" vertical="center" wrapText="1"/>
    </xf>
    <xf numFmtId="0" fontId="7" fillId="0" borderId="0" xfId="109" applyAlignment="1">
      <alignment wrapText="1"/>
    </xf>
    <xf numFmtId="0" fontId="51" fillId="0" borderId="0" xfId="109" applyFont="1" applyAlignment="1" applyProtection="1">
      <alignment horizontal="center"/>
      <protection hidden="1"/>
    </xf>
    <xf numFmtId="0" fontId="51" fillId="8" borderId="0" xfId="109" applyFont="1" applyFill="1" applyAlignment="1" applyProtection="1">
      <alignment horizontal="left" vertical="center" wrapText="1"/>
      <protection hidden="1"/>
    </xf>
    <xf numFmtId="0" fontId="54" fillId="8" borderId="0" xfId="109" applyFont="1" applyFill="1" applyAlignment="1" applyProtection="1">
      <alignment vertical="center" wrapText="1"/>
      <protection hidden="1"/>
    </xf>
    <xf numFmtId="0" fontId="51" fillId="9" borderId="0" xfId="109" applyFont="1" applyFill="1" applyAlignment="1" applyProtection="1">
      <alignment horizontal="center"/>
      <protection locked="0"/>
    </xf>
    <xf numFmtId="0" fontId="54" fillId="8" borderId="0" xfId="109" applyFont="1" applyFill="1" applyAlignment="1" applyProtection="1">
      <alignment horizontal="left" vertical="center" shrinkToFit="1"/>
      <protection hidden="1"/>
    </xf>
    <xf numFmtId="182" fontId="63" fillId="8" borderId="0" xfId="109" applyNumberFormat="1" applyFont="1" applyFill="1" applyAlignment="1">
      <alignment horizontal="center"/>
    </xf>
    <xf numFmtId="183" fontId="63" fillId="8" borderId="0" xfId="109" applyNumberFormat="1" applyFont="1" applyFill="1" applyAlignment="1">
      <alignment horizontal="center"/>
    </xf>
    <xf numFmtId="184" fontId="63" fillId="8" borderId="0" xfId="109" applyNumberFormat="1" applyFont="1" applyFill="1" applyAlignment="1">
      <alignment horizontal="center"/>
    </xf>
    <xf numFmtId="0" fontId="51" fillId="8" borderId="0" xfId="109" applyFont="1" applyFill="1" applyAlignment="1" applyProtection="1">
      <alignment horizontal="left"/>
      <protection hidden="1"/>
    </xf>
    <xf numFmtId="0" fontId="51" fillId="0" borderId="0" xfId="109" applyFont="1" applyAlignment="1" applyProtection="1">
      <alignment horizontal="left"/>
      <protection hidden="1"/>
    </xf>
    <xf numFmtId="191" fontId="51" fillId="8" borderId="0" xfId="109" applyNumberFormat="1" applyFont="1" applyFill="1" applyAlignment="1" applyProtection="1">
      <alignment horizontal="center"/>
      <protection hidden="1"/>
    </xf>
    <xf numFmtId="0" fontId="51" fillId="8" borderId="0" xfId="109" applyFont="1" applyFill="1" applyAlignment="1" applyProtection="1">
      <alignment horizontal="distributed"/>
      <protection hidden="1"/>
    </xf>
    <xf numFmtId="0" fontId="68" fillId="0" borderId="0" xfId="71" applyFont="1" applyAlignment="1">
      <alignment horizontal="center" vertical="center"/>
    </xf>
    <xf numFmtId="0" fontId="66" fillId="8" borderId="0" xfId="71" applyFont="1" applyFill="1" applyAlignment="1">
      <alignment horizontal="left" vertical="center"/>
    </xf>
    <xf numFmtId="0" fontId="66" fillId="8" borderId="21" xfId="71" applyFont="1" applyFill="1" applyBorder="1" applyAlignment="1">
      <alignment horizontal="left" vertical="center"/>
    </xf>
    <xf numFmtId="0" fontId="65" fillId="0" borderId="0" xfId="119" applyFont="1" applyAlignment="1">
      <alignment horizontal="center" vertical="center"/>
    </xf>
    <xf numFmtId="0" fontId="53" fillId="9" borderId="21" xfId="119" applyFont="1" applyFill="1" applyBorder="1" applyAlignment="1">
      <alignment horizontal="center" vertical="center" shrinkToFit="1"/>
    </xf>
    <xf numFmtId="0" fontId="54" fillId="8" borderId="0" xfId="119" applyFont="1" applyFill="1" applyAlignment="1" applyProtection="1">
      <alignment horizontal="left" vertical="center"/>
      <protection hidden="1"/>
    </xf>
    <xf numFmtId="0" fontId="53" fillId="8" borderId="21" xfId="119" applyFont="1" applyFill="1" applyBorder="1" applyAlignment="1">
      <alignment horizontal="center" vertical="center" shrinkToFit="1"/>
    </xf>
    <xf numFmtId="0" fontId="53" fillId="9" borderId="35" xfId="119" applyFont="1" applyFill="1" applyBorder="1" applyAlignment="1">
      <alignment horizontal="left" vertical="center" indent="1"/>
    </xf>
    <xf numFmtId="0" fontId="53" fillId="9" borderId="33" xfId="119" applyFont="1" applyFill="1" applyBorder="1" applyAlignment="1">
      <alignment horizontal="left" vertical="center" indent="1"/>
    </xf>
    <xf numFmtId="0" fontId="53" fillId="9" borderId="53" xfId="119" applyFont="1" applyFill="1" applyBorder="1" applyAlignment="1">
      <alignment horizontal="left" vertical="center" indent="1"/>
    </xf>
    <xf numFmtId="0" fontId="53" fillId="0" borderId="96" xfId="119" applyFont="1" applyBorder="1" applyAlignment="1">
      <alignment horizontal="distributed" vertical="center"/>
    </xf>
    <xf numFmtId="0" fontId="53" fillId="0" borderId="83" xfId="119" applyFont="1" applyBorder="1" applyAlignment="1">
      <alignment horizontal="distributed" vertical="center"/>
    </xf>
    <xf numFmtId="0" fontId="53" fillId="0" borderId="95" xfId="119" applyFont="1" applyBorder="1" applyAlignment="1">
      <alignment horizontal="distributed" vertical="center"/>
    </xf>
    <xf numFmtId="0" fontId="53" fillId="0" borderId="60" xfId="119" applyFont="1" applyBorder="1" applyAlignment="1">
      <alignment horizontal="distributed" vertical="center"/>
    </xf>
    <xf numFmtId="0" fontId="53" fillId="0" borderId="0" xfId="119" applyFont="1" applyAlignment="1">
      <alignment horizontal="distributed" vertical="center"/>
    </xf>
    <xf numFmtId="0" fontId="53" fillId="0" borderId="47" xfId="119" applyFont="1" applyBorder="1" applyAlignment="1">
      <alignment horizontal="distributed" vertical="center"/>
    </xf>
    <xf numFmtId="0" fontId="53" fillId="0" borderId="48" xfId="119" applyFont="1" applyBorder="1" applyAlignment="1">
      <alignment horizontal="distributed" vertical="center"/>
    </xf>
    <xf numFmtId="0" fontId="53" fillId="0" borderId="21" xfId="119" applyFont="1" applyBorder="1" applyAlignment="1">
      <alignment horizontal="distributed" vertical="center"/>
    </xf>
    <xf numFmtId="0" fontId="53" fillId="0" borderId="49" xfId="119" applyFont="1" applyBorder="1" applyAlignment="1">
      <alignment horizontal="distributed" vertical="center"/>
    </xf>
    <xf numFmtId="0" fontId="53" fillId="9" borderId="21" xfId="119" applyFont="1" applyFill="1" applyBorder="1" applyAlignment="1">
      <alignment horizontal="left" vertical="center"/>
    </xf>
    <xf numFmtId="0" fontId="53" fillId="9" borderId="49" xfId="119" applyFont="1" applyFill="1" applyBorder="1" applyAlignment="1">
      <alignment horizontal="left" vertical="center"/>
    </xf>
    <xf numFmtId="0" fontId="53" fillId="8" borderId="97" xfId="119" applyFont="1" applyFill="1" applyBorder="1" applyAlignment="1">
      <alignment horizontal="center" vertical="center"/>
    </xf>
    <xf numFmtId="0" fontId="53" fillId="9" borderId="75" xfId="119" applyFont="1" applyFill="1" applyBorder="1" applyAlignment="1">
      <alignment horizontal="left" vertical="center"/>
    </xf>
    <xf numFmtId="0" fontId="53" fillId="9" borderId="11" xfId="119" applyFont="1" applyFill="1" applyBorder="1" applyAlignment="1">
      <alignment horizontal="left" vertical="center"/>
    </xf>
    <xf numFmtId="183" fontId="54" fillId="8" borderId="0" xfId="109" applyNumberFormat="1" applyFont="1" applyFill="1" applyAlignment="1">
      <alignment horizontal="center"/>
    </xf>
    <xf numFmtId="184" fontId="54" fillId="8" borderId="0" xfId="109" applyNumberFormat="1" applyFont="1" applyFill="1" applyAlignment="1">
      <alignment horizontal="center"/>
    </xf>
    <xf numFmtId="191" fontId="54" fillId="8" borderId="0" xfId="109" applyNumberFormat="1" applyFont="1" applyFill="1" applyAlignment="1" applyProtection="1">
      <alignment horizontal="center"/>
      <protection hidden="1"/>
    </xf>
    <xf numFmtId="0" fontId="54" fillId="8" borderId="0" xfId="109" applyFont="1" applyFill="1" applyAlignment="1" applyProtection="1">
      <alignment horizontal="distributed"/>
      <protection hidden="1"/>
    </xf>
    <xf numFmtId="0" fontId="53" fillId="0" borderId="21" xfId="119" applyFont="1" applyBorder="1" applyAlignment="1">
      <alignment horizontal="center" vertical="center"/>
    </xf>
    <xf numFmtId="0" fontId="54" fillId="8" borderId="0" xfId="119" applyFont="1" applyFill="1" applyAlignment="1" applyProtection="1">
      <alignment vertical="center" wrapText="1"/>
      <protection hidden="1"/>
    </xf>
    <xf numFmtId="0" fontId="53" fillId="0" borderId="0" xfId="119" applyFont="1" applyAlignment="1">
      <alignment horizontal="left" vertical="center"/>
    </xf>
    <xf numFmtId="0" fontId="53" fillId="0" borderId="97" xfId="119" applyFont="1" applyBorder="1" applyAlignment="1">
      <alignment horizontal="center" vertical="center"/>
    </xf>
    <xf numFmtId="0" fontId="53" fillId="0" borderId="0" xfId="119" applyFont="1" applyAlignment="1">
      <alignment horizontal="center" vertical="center"/>
    </xf>
    <xf numFmtId="0" fontId="53" fillId="8" borderId="33" xfId="119" applyFont="1" applyFill="1" applyBorder="1" applyAlignment="1">
      <alignment horizontal="center" vertical="center"/>
    </xf>
    <xf numFmtId="0" fontId="53" fillId="8" borderId="97" xfId="119" applyFont="1" applyFill="1" applyBorder="1" applyAlignment="1">
      <alignment horizontal="right" vertical="center"/>
    </xf>
    <xf numFmtId="0" fontId="53" fillId="8" borderId="97" xfId="119" applyFont="1" applyFill="1" applyBorder="1" applyAlignment="1">
      <alignment vertical="center"/>
    </xf>
    <xf numFmtId="0" fontId="53" fillId="9" borderId="33" xfId="119" applyFont="1" applyFill="1" applyBorder="1" applyAlignment="1">
      <alignment horizontal="center" vertical="center"/>
    </xf>
    <xf numFmtId="0" fontId="53" fillId="9" borderId="33" xfId="119" applyFont="1" applyFill="1" applyBorder="1" applyAlignment="1">
      <alignment horizontal="center" vertical="center" shrinkToFit="1"/>
    </xf>
    <xf numFmtId="0" fontId="53" fillId="8" borderId="33" xfId="119" applyFont="1" applyFill="1" applyBorder="1" applyAlignment="1">
      <alignment horizontal="center" vertical="center" shrinkToFit="1"/>
    </xf>
    <xf numFmtId="0" fontId="53" fillId="8" borderId="75" xfId="119" applyFont="1" applyFill="1" applyBorder="1" applyAlignment="1">
      <alignment horizontal="left" vertical="center"/>
    </xf>
    <xf numFmtId="0" fontId="53" fillId="8" borderId="11" xfId="119" applyFont="1" applyFill="1" applyBorder="1" applyAlignment="1">
      <alignment horizontal="left" vertical="center"/>
    </xf>
    <xf numFmtId="0" fontId="53" fillId="9" borderId="97" xfId="119" applyFont="1" applyFill="1" applyBorder="1" applyAlignment="1">
      <alignment horizontal="center" vertical="center"/>
    </xf>
    <xf numFmtId="0" fontId="53" fillId="9" borderId="97" xfId="119" applyFont="1" applyFill="1" applyBorder="1" applyAlignment="1">
      <alignment vertical="center"/>
    </xf>
    <xf numFmtId="0" fontId="53" fillId="9" borderId="97" xfId="119" applyFont="1" applyFill="1" applyBorder="1" applyAlignment="1">
      <alignment horizontal="right" vertical="center"/>
    </xf>
    <xf numFmtId="0" fontId="53" fillId="9" borderId="21" xfId="119" applyFont="1" applyFill="1" applyBorder="1" applyAlignment="1">
      <alignment vertical="center"/>
    </xf>
    <xf numFmtId="0" fontId="53" fillId="0" borderId="96" xfId="119" applyFont="1" applyBorder="1" applyAlignment="1">
      <alignment horizontal="center" vertical="center" wrapText="1"/>
    </xf>
    <xf numFmtId="0" fontId="53" fillId="0" borderId="83" xfId="119" applyFont="1" applyBorder="1" applyAlignment="1">
      <alignment horizontal="center" vertical="center" wrapText="1"/>
    </xf>
    <xf numFmtId="0" fontId="53" fillId="0" borderId="48" xfId="119" applyFont="1" applyBorder="1" applyAlignment="1">
      <alignment horizontal="center" vertical="center" wrapText="1"/>
    </xf>
    <xf numFmtId="0" fontId="53" fillId="0" borderId="21" xfId="119" applyFont="1" applyBorder="1" applyAlignment="1">
      <alignment horizontal="center" vertical="center" wrapText="1"/>
    </xf>
    <xf numFmtId="0" fontId="53" fillId="9" borderId="96" xfId="119" applyFont="1" applyFill="1" applyBorder="1" applyAlignment="1">
      <alignment horizontal="left" vertical="center" indent="1"/>
    </xf>
    <xf numFmtId="0" fontId="53" fillId="9" borderId="83" xfId="119" applyFont="1" applyFill="1" applyBorder="1" applyAlignment="1">
      <alignment horizontal="left" vertical="center" indent="1"/>
    </xf>
    <xf numFmtId="0" fontId="53" fillId="9" borderId="95" xfId="119" applyFont="1" applyFill="1" applyBorder="1" applyAlignment="1">
      <alignment horizontal="left" vertical="center" indent="1"/>
    </xf>
    <xf numFmtId="0" fontId="53" fillId="9" borderId="48" xfId="119" applyFont="1" applyFill="1" applyBorder="1" applyAlignment="1">
      <alignment horizontal="left" vertical="center" indent="1"/>
    </xf>
    <xf numFmtId="0" fontId="53" fillId="9" borderId="21" xfId="119" applyFont="1" applyFill="1" applyBorder="1" applyAlignment="1">
      <alignment horizontal="left" vertical="center" indent="1"/>
    </xf>
    <xf numFmtId="0" fontId="53" fillId="9" borderId="49" xfId="119" applyFont="1" applyFill="1" applyBorder="1" applyAlignment="1">
      <alignment horizontal="left" vertical="center" indent="1"/>
    </xf>
    <xf numFmtId="0" fontId="53" fillId="0" borderId="96" xfId="119" applyFont="1" applyBorder="1" applyAlignment="1">
      <alignment horizontal="center" vertical="center"/>
    </xf>
    <xf numFmtId="0" fontId="53" fillId="0" borderId="83" xfId="119" applyFont="1" applyBorder="1" applyAlignment="1">
      <alignment horizontal="center" vertical="center"/>
    </xf>
    <xf numFmtId="0" fontId="53" fillId="0" borderId="95" xfId="119" applyFont="1" applyBorder="1" applyAlignment="1">
      <alignment horizontal="center" vertical="center"/>
    </xf>
    <xf numFmtId="0" fontId="53" fillId="0" borderId="60" xfId="119" applyFont="1" applyBorder="1" applyAlignment="1">
      <alignment horizontal="center" vertical="center"/>
    </xf>
    <xf numFmtId="0" fontId="53" fillId="0" borderId="47" xfId="119" applyFont="1" applyBorder="1" applyAlignment="1">
      <alignment horizontal="center" vertical="center"/>
    </xf>
    <xf numFmtId="0" fontId="53" fillId="9" borderId="35" xfId="119" applyFont="1" applyFill="1" applyBorder="1" applyAlignment="1">
      <alignment horizontal="center" vertical="center"/>
    </xf>
    <xf numFmtId="0" fontId="53" fillId="9" borderId="53" xfId="119" applyFont="1" applyFill="1" applyBorder="1" applyAlignment="1">
      <alignment horizontal="center" vertical="center"/>
    </xf>
    <xf numFmtId="0" fontId="53" fillId="0" borderId="51" xfId="119" applyFont="1" applyBorder="1" applyAlignment="1">
      <alignment horizontal="left" vertical="center" wrapText="1"/>
    </xf>
    <xf numFmtId="0" fontId="53" fillId="0" borderId="97" xfId="119" applyFont="1" applyBorder="1" applyAlignment="1">
      <alignment horizontal="left" vertical="center" wrapText="1"/>
    </xf>
    <xf numFmtId="0" fontId="53" fillId="9" borderId="60" xfId="119" applyFont="1" applyFill="1" applyBorder="1" applyAlignment="1">
      <alignment horizontal="center" vertical="center"/>
    </xf>
    <xf numFmtId="0" fontId="53" fillId="9" borderId="0" xfId="119" applyFont="1" applyFill="1" applyAlignment="1">
      <alignment horizontal="center" vertical="center"/>
    </xf>
    <xf numFmtId="0" fontId="53" fillId="8" borderId="21" xfId="119" applyFont="1" applyFill="1" applyBorder="1" applyAlignment="1">
      <alignment horizontal="left" vertical="center"/>
    </xf>
    <xf numFmtId="0" fontId="53" fillId="8" borderId="35" xfId="119" applyFont="1" applyFill="1" applyBorder="1" applyAlignment="1">
      <alignment horizontal="left" vertical="center" indent="1"/>
    </xf>
    <xf numFmtId="0" fontId="53" fillId="8" borderId="33" xfId="119" applyFont="1" applyFill="1" applyBorder="1" applyAlignment="1">
      <alignment horizontal="left" vertical="center" indent="1"/>
    </xf>
    <xf numFmtId="0" fontId="53" fillId="8" borderId="53" xfId="119" applyFont="1" applyFill="1" applyBorder="1" applyAlignment="1">
      <alignment horizontal="left" vertical="center" indent="1"/>
    </xf>
    <xf numFmtId="0" fontId="53" fillId="0" borderId="48" xfId="119" applyFont="1" applyBorder="1" applyAlignment="1">
      <alignment horizontal="center" vertical="center"/>
    </xf>
    <xf numFmtId="0" fontId="53" fillId="0" borderId="49" xfId="119" applyFont="1" applyBorder="1" applyAlignment="1">
      <alignment horizontal="center" vertical="center"/>
    </xf>
    <xf numFmtId="0" fontId="53" fillId="0" borderId="48" xfId="119" applyFont="1" applyBorder="1" applyAlignment="1">
      <alignment horizontal="left" vertical="center"/>
    </xf>
    <xf numFmtId="0" fontId="53" fillId="0" borderId="21" xfId="119" applyFont="1" applyBorder="1" applyAlignment="1">
      <alignment horizontal="left" vertical="center"/>
    </xf>
    <xf numFmtId="0" fontId="53" fillId="9" borderId="33" xfId="119" applyFont="1" applyFill="1" applyBorder="1" applyAlignment="1">
      <alignment vertical="center"/>
    </xf>
    <xf numFmtId="0" fontId="53" fillId="9" borderId="92" xfId="119" applyFont="1" applyFill="1" applyBorder="1" applyAlignment="1">
      <alignment horizontal="left" vertical="center"/>
    </xf>
    <xf numFmtId="0" fontId="53" fillId="9" borderId="91" xfId="119" applyFont="1" applyFill="1" applyBorder="1" applyAlignment="1">
      <alignment horizontal="left" vertical="center"/>
    </xf>
    <xf numFmtId="0" fontId="53" fillId="8" borderId="60" xfId="119" applyFont="1" applyFill="1" applyBorder="1" applyAlignment="1">
      <alignment horizontal="center" vertical="center"/>
    </xf>
    <xf numFmtId="0" fontId="53" fillId="8" borderId="0" xfId="119" applyFont="1" applyFill="1" applyAlignment="1">
      <alignment horizontal="center" vertical="center"/>
    </xf>
    <xf numFmtId="0" fontId="53" fillId="8" borderId="21" xfId="119" applyFont="1" applyFill="1" applyBorder="1" applyAlignment="1">
      <alignment horizontal="left" vertical="center" shrinkToFit="1"/>
    </xf>
    <xf numFmtId="0" fontId="53" fillId="9" borderId="21" xfId="119" applyFont="1" applyFill="1" applyBorder="1" applyAlignment="1">
      <alignment horizontal="left" vertical="center" shrinkToFit="1"/>
    </xf>
    <xf numFmtId="0" fontId="53" fillId="8" borderId="75" xfId="119" applyFont="1" applyFill="1" applyBorder="1" applyAlignment="1">
      <alignment horizontal="left" vertical="center" shrinkToFit="1"/>
    </xf>
    <xf numFmtId="0" fontId="53" fillId="8" borderId="11" xfId="119" applyFont="1" applyFill="1" applyBorder="1" applyAlignment="1">
      <alignment horizontal="left" vertical="center" shrinkToFit="1"/>
    </xf>
    <xf numFmtId="0" fontId="53" fillId="8" borderId="21" xfId="119" applyFont="1" applyFill="1" applyBorder="1" applyAlignment="1">
      <alignment vertical="center"/>
    </xf>
    <xf numFmtId="0" fontId="53" fillId="8" borderId="92" xfId="119" applyFont="1" applyFill="1" applyBorder="1" applyAlignment="1">
      <alignment horizontal="left" vertical="center"/>
    </xf>
    <xf numFmtId="0" fontId="53" fillId="8" borderId="91" xfId="119" applyFont="1" applyFill="1" applyBorder="1" applyAlignment="1">
      <alignment horizontal="left" vertical="center"/>
    </xf>
    <xf numFmtId="0" fontId="53" fillId="8" borderId="33" xfId="119" applyFont="1" applyFill="1" applyBorder="1" applyAlignment="1">
      <alignment vertical="center"/>
    </xf>
    <xf numFmtId="0" fontId="54" fillId="8" borderId="0" xfId="119" applyFont="1" applyFill="1" applyAlignment="1" applyProtection="1">
      <alignment vertical="center" wrapText="1" shrinkToFit="1"/>
      <protection hidden="1"/>
    </xf>
    <xf numFmtId="0" fontId="53" fillId="0" borderId="95" xfId="119" applyFont="1" applyBorder="1" applyAlignment="1">
      <alignment horizontal="center" vertical="center" wrapText="1"/>
    </xf>
    <xf numFmtId="0" fontId="53" fillId="0" borderId="60" xfId="119" applyFont="1" applyBorder="1" applyAlignment="1">
      <alignment horizontal="center" vertical="center" wrapText="1"/>
    </xf>
    <xf numFmtId="0" fontId="53" fillId="0" borderId="0" xfId="119" applyFont="1" applyAlignment="1">
      <alignment horizontal="center" vertical="center" wrapText="1"/>
    </xf>
    <xf numFmtId="0" fontId="53" fillId="0" borderId="47" xfId="119" applyFont="1" applyBorder="1" applyAlignment="1">
      <alignment horizontal="center" vertical="center" wrapText="1"/>
    </xf>
    <xf numFmtId="0" fontId="53" fillId="0" borderId="49" xfId="119" applyFont="1" applyBorder="1" applyAlignment="1">
      <alignment horizontal="center" vertical="center" wrapText="1"/>
    </xf>
    <xf numFmtId="0" fontId="53" fillId="8" borderId="35" xfId="119" applyFont="1" applyFill="1" applyBorder="1" applyAlignment="1">
      <alignment horizontal="left" vertical="center" indent="1" shrinkToFit="1"/>
    </xf>
    <xf numFmtId="0" fontId="53" fillId="8" borderId="33" xfId="119" applyFont="1" applyFill="1" applyBorder="1" applyAlignment="1">
      <alignment horizontal="left" vertical="center" indent="1" shrinkToFit="1"/>
    </xf>
    <xf numFmtId="0" fontId="53" fillId="8" borderId="53" xfId="119" applyFont="1" applyFill="1" applyBorder="1" applyAlignment="1">
      <alignment horizontal="left" vertical="center" indent="1" shrinkToFit="1"/>
    </xf>
    <xf numFmtId="0" fontId="53" fillId="8" borderId="48" xfId="119" applyFont="1" applyFill="1" applyBorder="1" applyAlignment="1">
      <alignment horizontal="left" vertical="center" indent="1" shrinkToFit="1"/>
    </xf>
    <xf numFmtId="0" fontId="53" fillId="8" borderId="21" xfId="119" applyFont="1" applyFill="1" applyBorder="1" applyAlignment="1">
      <alignment horizontal="left" vertical="center" indent="1" shrinkToFit="1"/>
    </xf>
    <xf numFmtId="0" fontId="53" fillId="8" borderId="49" xfId="119" applyFont="1" applyFill="1" applyBorder="1" applyAlignment="1">
      <alignment horizontal="left" vertical="center"/>
    </xf>
    <xf numFmtId="0" fontId="53" fillId="9" borderId="48" xfId="119" applyFont="1" applyFill="1" applyBorder="1" applyAlignment="1">
      <alignment horizontal="center" vertical="center"/>
    </xf>
    <xf numFmtId="0" fontId="53" fillId="9" borderId="21" xfId="119" applyFont="1" applyFill="1" applyBorder="1" applyAlignment="1">
      <alignment horizontal="center" vertical="center"/>
    </xf>
    <xf numFmtId="0" fontId="54" fillId="0" borderId="83" xfId="119" applyFont="1" applyBorder="1" applyAlignment="1" applyProtection="1">
      <alignment horizontal="center" vertical="center"/>
      <protection hidden="1"/>
    </xf>
    <xf numFmtId="182" fontId="54" fillId="8" borderId="0" xfId="109" applyNumberFormat="1" applyFont="1" applyFill="1" applyAlignment="1">
      <alignment horizontal="center"/>
    </xf>
    <xf numFmtId="0" fontId="54" fillId="0" borderId="0" xfId="109" applyFont="1" applyAlignment="1" applyProtection="1">
      <alignment horizontal="left"/>
      <protection hidden="1"/>
    </xf>
    <xf numFmtId="0" fontId="53" fillId="0" borderId="3" xfId="119" applyFont="1" applyBorder="1" applyAlignment="1">
      <alignment horizontal="center" vertical="center"/>
    </xf>
    <xf numFmtId="0" fontId="53" fillId="0" borderId="78" xfId="119" applyFont="1" applyBorder="1" applyAlignment="1">
      <alignment horizontal="center" vertical="center"/>
    </xf>
    <xf numFmtId="0" fontId="53" fillId="0" borderId="98" xfId="119" applyFont="1" applyBorder="1" applyAlignment="1">
      <alignment horizontal="center" vertical="center"/>
    </xf>
    <xf numFmtId="0" fontId="54" fillId="8" borderId="0" xfId="109" applyFont="1" applyFill="1" applyAlignment="1" applyProtection="1">
      <alignment horizontal="left"/>
      <protection hidden="1"/>
    </xf>
    <xf numFmtId="0" fontId="53" fillId="9" borderId="33" xfId="120" applyFont="1" applyFill="1" applyBorder="1" applyAlignment="1">
      <alignment horizontal="center" vertical="center"/>
    </xf>
    <xf numFmtId="0" fontId="53" fillId="9" borderId="33" xfId="120" applyFont="1" applyFill="1" applyBorder="1" applyAlignment="1">
      <alignment horizontal="center" vertical="center" shrinkToFit="1"/>
    </xf>
    <xf numFmtId="0" fontId="53" fillId="9" borderId="33" xfId="120" applyFont="1" applyFill="1" applyBorder="1" applyAlignment="1">
      <alignment vertical="center"/>
    </xf>
    <xf numFmtId="0" fontId="53" fillId="0" borderId="48" xfId="120" applyFont="1" applyBorder="1" applyAlignment="1">
      <alignment horizontal="left" vertical="center"/>
    </xf>
    <xf numFmtId="0" fontId="53" fillId="0" borderId="21" xfId="120" applyFont="1" applyBorder="1" applyAlignment="1">
      <alignment horizontal="left" vertical="center"/>
    </xf>
    <xf numFmtId="0" fontId="53" fillId="9" borderId="21" xfId="120" applyFont="1" applyFill="1" applyBorder="1" applyAlignment="1">
      <alignment horizontal="left" vertical="center"/>
    </xf>
    <xf numFmtId="0" fontId="53" fillId="9" borderId="92" xfId="120" applyFont="1" applyFill="1" applyBorder="1" applyAlignment="1">
      <alignment horizontal="left" vertical="center"/>
    </xf>
    <xf numFmtId="0" fontId="53" fillId="9" borderId="91" xfId="120" applyFont="1" applyFill="1" applyBorder="1" applyAlignment="1">
      <alignment horizontal="left" vertical="center"/>
    </xf>
    <xf numFmtId="0" fontId="53" fillId="9" borderId="75" xfId="120" applyFont="1" applyFill="1" applyBorder="1" applyAlignment="1">
      <alignment horizontal="left" vertical="center"/>
    </xf>
    <xf numFmtId="0" fontId="53" fillId="9" borderId="11" xfId="120" applyFont="1" applyFill="1" applyBorder="1" applyAlignment="1">
      <alignment horizontal="left" vertical="center"/>
    </xf>
    <xf numFmtId="0" fontId="53" fillId="0" borderId="96" xfId="120" applyFont="1" applyBorder="1" applyAlignment="1">
      <alignment horizontal="center" vertical="center"/>
    </xf>
    <xf numFmtId="0" fontId="53" fillId="0" borderId="83" xfId="120" applyFont="1" applyBorder="1" applyAlignment="1">
      <alignment horizontal="center" vertical="center"/>
    </xf>
    <xf numFmtId="0" fontId="53" fillId="0" borderId="95" xfId="120" applyFont="1" applyBorder="1" applyAlignment="1">
      <alignment horizontal="center" vertical="center"/>
    </xf>
    <xf numFmtId="0" fontId="53" fillId="0" borderId="60" xfId="120" applyFont="1" applyBorder="1" applyAlignment="1">
      <alignment horizontal="center" vertical="center"/>
    </xf>
    <xf numFmtId="0" fontId="53" fillId="0" borderId="0" xfId="120" applyFont="1" applyAlignment="1">
      <alignment horizontal="center" vertical="center"/>
    </xf>
    <xf numFmtId="0" fontId="53" fillId="0" borderId="47" xfId="120" applyFont="1" applyBorder="1" applyAlignment="1">
      <alignment horizontal="center" vertical="center"/>
    </xf>
    <xf numFmtId="0" fontId="53" fillId="0" borderId="48" xfId="120" applyFont="1" applyBorder="1" applyAlignment="1">
      <alignment horizontal="center" vertical="center"/>
    </xf>
    <xf numFmtId="0" fontId="53" fillId="0" borderId="21" xfId="120" applyFont="1" applyBorder="1" applyAlignment="1">
      <alignment horizontal="center" vertical="center"/>
    </xf>
    <xf numFmtId="0" fontId="53" fillId="0" borderId="49" xfId="120" applyFont="1" applyBorder="1" applyAlignment="1">
      <alignment horizontal="center" vertical="center"/>
    </xf>
    <xf numFmtId="0" fontId="53" fillId="9" borderId="97" xfId="120" applyFont="1" applyFill="1" applyBorder="1" applyAlignment="1">
      <alignment vertical="center"/>
    </xf>
    <xf numFmtId="0" fontId="53" fillId="9" borderId="97" xfId="120" applyFont="1" applyFill="1" applyBorder="1" applyAlignment="1">
      <alignment horizontal="right" vertical="center"/>
    </xf>
    <xf numFmtId="0" fontId="53" fillId="0" borderId="97" xfId="120" applyFont="1" applyBorder="1" applyAlignment="1">
      <alignment horizontal="center" vertical="center"/>
    </xf>
    <xf numFmtId="0" fontId="53" fillId="9" borderId="97" xfId="120" applyFont="1" applyFill="1" applyBorder="1" applyAlignment="1">
      <alignment horizontal="center" vertical="center"/>
    </xf>
    <xf numFmtId="0" fontId="53" fillId="0" borderId="0" xfId="120" applyFont="1" applyAlignment="1">
      <alignment horizontal="left" vertical="center"/>
    </xf>
    <xf numFmtId="0" fontId="65" fillId="0" borderId="0" xfId="120" applyFont="1" applyAlignment="1">
      <alignment horizontal="center" vertical="center"/>
    </xf>
    <xf numFmtId="0" fontId="51" fillId="0" borderId="96" xfId="122" applyFont="1" applyBorder="1" applyAlignment="1">
      <alignment horizontal="center" vertical="center" wrapText="1"/>
    </xf>
    <xf numFmtId="0" fontId="51" fillId="0" borderId="83" xfId="122" applyFont="1" applyBorder="1" applyAlignment="1">
      <alignment horizontal="center" vertical="center" wrapText="1"/>
    </xf>
    <xf numFmtId="0" fontId="51" fillId="0" borderId="95" xfId="122" applyFont="1" applyBorder="1" applyAlignment="1">
      <alignment horizontal="center" vertical="center" wrapText="1"/>
    </xf>
    <xf numFmtId="0" fontId="51" fillId="0" borderId="48" xfId="122" applyFont="1" applyBorder="1" applyAlignment="1">
      <alignment horizontal="center" vertical="center" wrapText="1"/>
    </xf>
    <xf numFmtId="0" fontId="51" fillId="0" borderId="21" xfId="122" applyFont="1" applyBorder="1" applyAlignment="1">
      <alignment horizontal="center" vertical="center" wrapText="1"/>
    </xf>
    <xf numFmtId="0" fontId="51" fillId="0" borderId="49" xfId="122" applyFont="1" applyBorder="1" applyAlignment="1">
      <alignment horizontal="center" vertical="center" wrapText="1"/>
    </xf>
    <xf numFmtId="0" fontId="15" fillId="9" borderId="96" xfId="122" applyFont="1" applyFill="1" applyBorder="1" applyAlignment="1">
      <alignment horizontal="left" vertical="center"/>
    </xf>
    <xf numFmtId="0" fontId="15" fillId="9" borderId="83" xfId="122" applyFont="1" applyFill="1" applyBorder="1" applyAlignment="1">
      <alignment horizontal="left" vertical="center"/>
    </xf>
    <xf numFmtId="0" fontId="15" fillId="9" borderId="95" xfId="122" applyFont="1" applyFill="1" applyBorder="1" applyAlignment="1">
      <alignment horizontal="left" vertical="center"/>
    </xf>
    <xf numFmtId="0" fontId="15" fillId="9" borderId="48" xfId="122" applyFont="1" applyFill="1" applyBorder="1" applyAlignment="1">
      <alignment horizontal="left" vertical="center"/>
    </xf>
    <xf numFmtId="0" fontId="15" fillId="9" borderId="21" xfId="122" applyFont="1" applyFill="1" applyBorder="1" applyAlignment="1">
      <alignment horizontal="left" vertical="center"/>
    </xf>
    <xf numFmtId="0" fontId="15" fillId="9" borderId="49" xfId="122" applyFont="1" applyFill="1" applyBorder="1" applyAlignment="1">
      <alignment horizontal="left" vertical="center"/>
    </xf>
    <xf numFmtId="0" fontId="54" fillId="0" borderId="96" xfId="122" applyFont="1" applyBorder="1" applyAlignment="1">
      <alignment horizontal="left" vertical="center"/>
    </xf>
    <xf numFmtId="0" fontId="54" fillId="0" borderId="83" xfId="122" applyFont="1" applyBorder="1" applyAlignment="1">
      <alignment horizontal="left" vertical="center"/>
    </xf>
    <xf numFmtId="0" fontId="54" fillId="9" borderId="33" xfId="122" applyFont="1" applyFill="1" applyBorder="1" applyAlignment="1">
      <alignment horizontal="left" vertical="center"/>
    </xf>
    <xf numFmtId="0" fontId="54" fillId="9" borderId="83" xfId="122" applyFont="1" applyFill="1" applyBorder="1" applyAlignment="1">
      <alignment horizontal="center" vertical="center" shrinkToFit="1"/>
    </xf>
    <xf numFmtId="0" fontId="54" fillId="9" borderId="104" xfId="122" applyFont="1" applyFill="1" applyBorder="1" applyAlignment="1">
      <alignment horizontal="left" vertical="center"/>
    </xf>
    <xf numFmtId="0" fontId="54" fillId="9" borderId="48" xfId="122" applyFont="1" applyFill="1" applyBorder="1" applyAlignment="1">
      <alignment horizontal="center" vertical="center"/>
    </xf>
    <xf numFmtId="0" fontId="54" fillId="9" borderId="21" xfId="122" applyFont="1" applyFill="1" applyBorder="1" applyAlignment="1">
      <alignment horizontal="center" vertical="center"/>
    </xf>
    <xf numFmtId="0" fontId="54" fillId="9" borderId="100" xfId="122" applyFont="1" applyFill="1" applyBorder="1" applyAlignment="1">
      <alignment horizontal="center" vertical="center"/>
    </xf>
    <xf numFmtId="0" fontId="51" fillId="0" borderId="96" xfId="122" applyFont="1" applyBorder="1" applyAlignment="1">
      <alignment horizontal="center" vertical="center"/>
    </xf>
    <xf numFmtId="0" fontId="51" fillId="0" borderId="83" xfId="122" applyFont="1" applyBorder="1" applyAlignment="1">
      <alignment horizontal="center" vertical="center"/>
    </xf>
    <xf numFmtId="0" fontId="51" fillId="0" borderId="95" xfId="122" applyFont="1" applyBorder="1" applyAlignment="1">
      <alignment horizontal="center" vertical="center"/>
    </xf>
    <xf numFmtId="0" fontId="51" fillId="0" borderId="60" xfId="122" applyFont="1" applyBorder="1" applyAlignment="1">
      <alignment horizontal="center" vertical="center"/>
    </xf>
    <xf numFmtId="0" fontId="51" fillId="0" borderId="0" xfId="122" applyFont="1" applyAlignment="1">
      <alignment horizontal="center" vertical="center"/>
    </xf>
    <xf numFmtId="0" fontId="51" fillId="0" borderId="47" xfId="122" applyFont="1" applyBorder="1" applyAlignment="1">
      <alignment horizontal="center" vertical="center"/>
    </xf>
    <xf numFmtId="0" fontId="51" fillId="0" borderId="48" xfId="122" applyFont="1" applyBorder="1" applyAlignment="1">
      <alignment horizontal="center" vertical="center"/>
    </xf>
    <xf numFmtId="0" fontId="51" fillId="0" borderId="21" xfId="122" applyFont="1" applyBorder="1" applyAlignment="1">
      <alignment horizontal="center" vertical="center"/>
    </xf>
    <xf numFmtId="0" fontId="51" fillId="0" borderId="49" xfId="122" applyFont="1" applyBorder="1" applyAlignment="1">
      <alignment horizontal="center" vertical="center"/>
    </xf>
    <xf numFmtId="0" fontId="54" fillId="9" borderId="21" xfId="122" applyFont="1" applyFill="1" applyBorder="1" applyAlignment="1">
      <alignment horizontal="left" vertical="center"/>
    </xf>
    <xf numFmtId="0" fontId="54" fillId="9" borderId="49" xfId="122" applyFont="1" applyFill="1" applyBorder="1" applyAlignment="1">
      <alignment horizontal="left" vertical="center"/>
    </xf>
    <xf numFmtId="0" fontId="54" fillId="9" borderId="33" xfId="122" applyFont="1" applyFill="1" applyBorder="1" applyAlignment="1">
      <alignment horizontal="center" vertical="center"/>
    </xf>
    <xf numFmtId="0" fontId="54" fillId="9" borderId="53" xfId="122" applyFont="1" applyFill="1" applyBorder="1" applyAlignment="1">
      <alignment horizontal="center" vertical="center"/>
    </xf>
    <xf numFmtId="0" fontId="54" fillId="9" borderId="60" xfId="122" applyFont="1" applyFill="1" applyBorder="1" applyAlignment="1">
      <alignment horizontal="left" vertical="center"/>
    </xf>
    <xf numFmtId="0" fontId="54" fillId="9" borderId="0" xfId="122" applyFont="1" applyFill="1" applyAlignment="1">
      <alignment horizontal="left" vertical="center"/>
    </xf>
    <xf numFmtId="0" fontId="54" fillId="9" borderId="101" xfId="122" applyFont="1" applyFill="1" applyBorder="1" applyAlignment="1">
      <alignment horizontal="left" vertical="center"/>
    </xf>
    <xf numFmtId="0" fontId="54" fillId="0" borderId="51" xfId="122" applyFont="1" applyBorder="1" applyAlignment="1">
      <alignment horizontal="left" vertical="center"/>
    </xf>
    <xf numFmtId="0" fontId="8" fillId="0" borderId="97" xfId="122" applyFont="1" applyBorder="1"/>
    <xf numFmtId="0" fontId="8" fillId="0" borderId="102" xfId="122" applyFont="1" applyBorder="1"/>
    <xf numFmtId="0" fontId="54" fillId="0" borderId="97" xfId="122" applyFont="1" applyBorder="1" applyAlignment="1">
      <alignment vertical="center"/>
    </xf>
    <xf numFmtId="0" fontId="54" fillId="0" borderId="52" xfId="122" applyFont="1" applyBorder="1" applyAlignment="1">
      <alignment vertical="center"/>
    </xf>
    <xf numFmtId="0" fontId="51" fillId="0" borderId="60" xfId="122" applyFont="1" applyBorder="1" applyAlignment="1">
      <alignment horizontal="center" vertical="center" wrapText="1"/>
    </xf>
    <xf numFmtId="0" fontId="51" fillId="0" borderId="0" xfId="122" applyFont="1" applyAlignment="1">
      <alignment horizontal="center" vertical="center" wrapText="1"/>
    </xf>
    <xf numFmtId="0" fontId="51" fillId="0" borderId="47" xfId="122" applyFont="1" applyBorder="1" applyAlignment="1">
      <alignment horizontal="center" vertical="center" wrapText="1"/>
    </xf>
    <xf numFmtId="0" fontId="54" fillId="9" borderId="35" xfId="122" applyFont="1" applyFill="1" applyBorder="1" applyAlignment="1">
      <alignment horizontal="center" vertical="center"/>
    </xf>
    <xf numFmtId="0" fontId="54" fillId="9" borderId="104" xfId="122" applyFont="1" applyFill="1" applyBorder="1" applyAlignment="1">
      <alignment horizontal="center" vertical="center"/>
    </xf>
    <xf numFmtId="0" fontId="54" fillId="0" borderId="51" xfId="122" applyFont="1" applyBorder="1" applyAlignment="1" applyProtection="1">
      <alignment horizontal="left" vertical="center"/>
      <protection hidden="1"/>
    </xf>
    <xf numFmtId="0" fontId="54" fillId="0" borderId="97" xfId="122" applyFont="1" applyBorder="1" applyAlignment="1" applyProtection="1">
      <alignment horizontal="left" vertical="center"/>
      <protection hidden="1"/>
    </xf>
    <xf numFmtId="0" fontId="54" fillId="0" borderId="102" xfId="122" applyFont="1" applyBorder="1" applyAlignment="1" applyProtection="1">
      <alignment horizontal="left" vertical="center"/>
      <protection hidden="1"/>
    </xf>
    <xf numFmtId="0" fontId="54" fillId="0" borderId="106" xfId="122" applyFont="1" applyBorder="1" applyAlignment="1">
      <alignment vertical="center"/>
    </xf>
    <xf numFmtId="49" fontId="54" fillId="9" borderId="21" xfId="122" applyNumberFormat="1" applyFont="1" applyFill="1" applyBorder="1" applyAlignment="1">
      <alignment horizontal="center" vertical="center" shrinkToFit="1"/>
    </xf>
    <xf numFmtId="0" fontId="54" fillId="9" borderId="97" xfId="122" applyFont="1" applyFill="1" applyBorder="1" applyAlignment="1">
      <alignment vertical="center"/>
    </xf>
    <xf numFmtId="0" fontId="54" fillId="9" borderId="52" xfId="122" applyFont="1" applyFill="1" applyBorder="1" applyAlignment="1">
      <alignment vertical="center"/>
    </xf>
    <xf numFmtId="0" fontId="54" fillId="37" borderId="21" xfId="122" applyFont="1" applyFill="1" applyBorder="1" applyAlignment="1">
      <alignment horizontal="left" vertical="center"/>
    </xf>
    <xf numFmtId="0" fontId="63" fillId="37" borderId="0" xfId="122" applyFont="1" applyFill="1" applyAlignment="1">
      <alignment horizontal="center" vertical="center"/>
    </xf>
    <xf numFmtId="182" fontId="63" fillId="8" borderId="0" xfId="109" applyNumberFormat="1" applyFont="1" applyFill="1" applyAlignment="1">
      <alignment horizontal="center" vertical="center"/>
    </xf>
    <xf numFmtId="183" fontId="63" fillId="8" borderId="0" xfId="109" applyNumberFormat="1" applyFont="1" applyFill="1" applyAlignment="1">
      <alignment horizontal="center" vertical="center"/>
    </xf>
    <xf numFmtId="184" fontId="63" fillId="8" borderId="0" xfId="109" applyNumberFormat="1" applyFont="1" applyFill="1" applyAlignment="1">
      <alignment horizontal="center" vertical="center"/>
    </xf>
    <xf numFmtId="0" fontId="51" fillId="0" borderId="0" xfId="109" applyFont="1" applyAlignment="1" applyProtection="1">
      <alignment horizontal="left" vertical="center"/>
      <protection hidden="1"/>
    </xf>
    <xf numFmtId="191" fontId="51" fillId="8" borderId="0" xfId="109" applyNumberFormat="1" applyFont="1" applyFill="1" applyAlignment="1" applyProtection="1">
      <alignment horizontal="center" vertical="center"/>
      <protection hidden="1"/>
    </xf>
    <xf numFmtId="0" fontId="51" fillId="8" borderId="0" xfId="109" applyFont="1" applyFill="1" applyAlignment="1" applyProtection="1">
      <alignment horizontal="distributed" vertical="center"/>
      <protection hidden="1"/>
    </xf>
    <xf numFmtId="0" fontId="51" fillId="8" borderId="0" xfId="109" applyFont="1" applyFill="1" applyAlignment="1" applyProtection="1">
      <alignment horizontal="left" vertical="center"/>
      <protection hidden="1"/>
    </xf>
    <xf numFmtId="0" fontId="51" fillId="8" borderId="0" xfId="122" applyFont="1" applyFill="1" applyAlignment="1" applyProtection="1">
      <alignment horizontal="left" vertical="center" shrinkToFit="1"/>
      <protection hidden="1"/>
    </xf>
    <xf numFmtId="0" fontId="51" fillId="0" borderId="0" xfId="122" applyFont="1" applyAlignment="1" applyProtection="1">
      <alignment horizontal="left" vertical="center"/>
      <protection hidden="1"/>
    </xf>
    <xf numFmtId="0" fontId="51" fillId="0" borderId="0" xfId="122" applyFont="1" applyAlignment="1" applyProtection="1">
      <alignment horizontal="center" vertical="center"/>
      <protection hidden="1"/>
    </xf>
    <xf numFmtId="0" fontId="51" fillId="8" borderId="0" xfId="122" applyFont="1" applyFill="1" applyAlignment="1" applyProtection="1">
      <alignment horizontal="left" vertical="center" wrapText="1"/>
      <protection hidden="1"/>
    </xf>
    <xf numFmtId="0" fontId="51" fillId="8" borderId="21" xfId="122" applyFont="1" applyFill="1" applyBorder="1" applyAlignment="1" applyProtection="1">
      <alignment horizontal="left" vertical="center" wrapText="1"/>
      <protection hidden="1"/>
    </xf>
    <xf numFmtId="0" fontId="65" fillId="0" borderId="0" xfId="122" applyFont="1" applyAlignment="1" applyProtection="1">
      <alignment horizontal="center" vertical="center"/>
      <protection hidden="1"/>
    </xf>
    <xf numFmtId="0" fontId="51" fillId="9" borderId="0" xfId="109" applyFont="1" applyFill="1" applyAlignment="1" applyProtection="1">
      <alignment horizontal="center" vertical="center"/>
      <protection locked="0"/>
    </xf>
    <xf numFmtId="0" fontId="51" fillId="0" borderId="0" xfId="121" applyFont="1" applyAlignment="1" applyProtection="1">
      <alignment horizontal="distributed" vertical="center"/>
      <protection hidden="1"/>
    </xf>
    <xf numFmtId="0" fontId="51" fillId="0" borderId="0" xfId="121" applyFont="1" applyAlignment="1" applyProtection="1">
      <alignment horizontal="left" vertical="center"/>
      <protection hidden="1"/>
    </xf>
    <xf numFmtId="0" fontId="51" fillId="9" borderId="0" xfId="121" applyFont="1" applyFill="1" applyAlignment="1" applyProtection="1">
      <alignment horizontal="left" vertical="center"/>
      <protection locked="0"/>
    </xf>
    <xf numFmtId="0" fontId="51" fillId="0" borderId="0" xfId="121" applyFont="1" applyAlignment="1" applyProtection="1">
      <alignment vertical="center"/>
      <protection locked="0"/>
    </xf>
    <xf numFmtId="0" fontId="51" fillId="0" borderId="0" xfId="121" applyFont="1" applyAlignment="1" applyProtection="1">
      <alignment horizontal="center" vertical="center"/>
      <protection hidden="1"/>
    </xf>
    <xf numFmtId="0" fontId="65" fillId="0" borderId="0" xfId="121" applyFont="1" applyAlignment="1" applyProtection="1">
      <alignment horizontal="center" vertical="center"/>
      <protection hidden="1"/>
    </xf>
    <xf numFmtId="0" fontId="51" fillId="8" borderId="0" xfId="121" applyFont="1" applyFill="1" applyAlignment="1" applyProtection="1">
      <alignment horizontal="left" vertical="center" wrapText="1"/>
      <protection hidden="1"/>
    </xf>
    <xf numFmtId="0" fontId="51" fillId="8" borderId="21" xfId="121" applyFont="1" applyFill="1" applyBorder="1" applyAlignment="1" applyProtection="1">
      <alignment horizontal="left" vertical="center" wrapText="1"/>
      <protection hidden="1"/>
    </xf>
    <xf numFmtId="0" fontId="51" fillId="8" borderId="0" xfId="121" applyFont="1" applyFill="1" applyAlignment="1" applyProtection="1">
      <alignment horizontal="left" vertical="center" shrinkToFit="1"/>
      <protection hidden="1"/>
    </xf>
    <xf numFmtId="182" fontId="63" fillId="9" borderId="0" xfId="121" applyNumberFormat="1" applyFont="1" applyFill="1" applyAlignment="1">
      <alignment horizontal="center" vertical="center"/>
    </xf>
    <xf numFmtId="183" fontId="63" fillId="9" borderId="0" xfId="121" applyNumberFormat="1" applyFont="1" applyFill="1" applyAlignment="1">
      <alignment horizontal="center" vertical="center"/>
    </xf>
    <xf numFmtId="184" fontId="63" fillId="9" borderId="0" xfId="121" applyNumberFormat="1" applyFont="1" applyFill="1" applyAlignment="1">
      <alignment horizontal="center" vertical="center"/>
    </xf>
    <xf numFmtId="0" fontId="51" fillId="8" borderId="0" xfId="121" applyFont="1" applyFill="1" applyAlignment="1" applyProtection="1">
      <alignment horizontal="left" vertical="center" shrinkToFit="1"/>
      <protection locked="0"/>
    </xf>
    <xf numFmtId="0" fontId="51" fillId="0" borderId="0" xfId="108" applyFont="1" applyAlignment="1" applyProtection="1">
      <alignment horizontal="left" vertical="center"/>
      <protection hidden="1"/>
    </xf>
    <xf numFmtId="0" fontId="65" fillId="0" borderId="0" xfId="108" applyFont="1" applyAlignment="1" applyProtection="1">
      <alignment horizontal="center" vertical="center"/>
      <protection hidden="1"/>
    </xf>
    <xf numFmtId="0" fontId="7" fillId="0" borderId="0" xfId="108" applyAlignment="1">
      <alignment horizontal="center" vertical="center"/>
    </xf>
    <xf numFmtId="0" fontId="51" fillId="8" borderId="0" xfId="108" applyFont="1" applyFill="1" applyAlignment="1" applyProtection="1">
      <alignment horizontal="left" vertical="center" wrapText="1"/>
      <protection hidden="1"/>
    </xf>
    <xf numFmtId="0" fontId="51" fillId="8" borderId="21" xfId="108" applyFont="1" applyFill="1" applyBorder="1" applyAlignment="1" applyProtection="1">
      <alignment horizontal="left" vertical="center" wrapText="1"/>
      <protection hidden="1"/>
    </xf>
    <xf numFmtId="0" fontId="51" fillId="8" borderId="0" xfId="108" applyFont="1" applyFill="1" applyAlignment="1" applyProtection="1">
      <alignment horizontal="left" vertical="center" shrinkToFit="1"/>
      <protection locked="0"/>
    </xf>
    <xf numFmtId="0" fontId="51" fillId="0" borderId="0" xfId="108" applyFont="1" applyAlignment="1" applyProtection="1">
      <alignment horizontal="center" vertical="center"/>
      <protection hidden="1"/>
    </xf>
    <xf numFmtId="0" fontId="51" fillId="0" borderId="0" xfId="108" applyFont="1" applyAlignment="1" applyProtection="1">
      <alignment horizontal="center" vertical="center" wrapText="1"/>
      <protection hidden="1"/>
    </xf>
    <xf numFmtId="0" fontId="51" fillId="9" borderId="0" xfId="108" applyFont="1" applyFill="1" applyAlignment="1" applyProtection="1">
      <alignment horizontal="center" vertical="center" wrapText="1"/>
      <protection hidden="1"/>
    </xf>
  </cellXfs>
  <cellStyles count="140">
    <cellStyle name="20% - アクセント 1 2" xfId="139" xr:uid="{00000000-0005-0000-0000-000000000000}"/>
    <cellStyle name="20% - アクセント 2 2" xfId="1" xr:uid="{00000000-0005-0000-0000-000001000000}"/>
    <cellStyle name="20% - アクセント 3 2" xfId="2" xr:uid="{00000000-0005-0000-0000-000002000000}"/>
    <cellStyle name="20% - アクセント 4 2" xfId="3" xr:uid="{00000000-0005-0000-0000-000003000000}"/>
    <cellStyle name="20% - アクセント 5 2" xfId="4" xr:uid="{00000000-0005-0000-0000-000004000000}"/>
    <cellStyle name="20% - アクセント 6 2" xfId="5" xr:uid="{00000000-0005-0000-0000-000005000000}"/>
    <cellStyle name="40% - アクセント 1 2" xfId="6" xr:uid="{00000000-0005-0000-0000-000006000000}"/>
    <cellStyle name="40% - アクセント 2 2" xfId="7" xr:uid="{00000000-0005-0000-0000-000007000000}"/>
    <cellStyle name="40% - アクセント 3 2" xfId="8" xr:uid="{00000000-0005-0000-0000-000008000000}"/>
    <cellStyle name="40% - アクセント 4 2" xfId="9" xr:uid="{00000000-0005-0000-0000-000009000000}"/>
    <cellStyle name="40% - アクセント 5 2" xfId="10" xr:uid="{00000000-0005-0000-0000-00000A000000}"/>
    <cellStyle name="40% - アクセント 6 2" xfId="11" xr:uid="{00000000-0005-0000-0000-00000B000000}"/>
    <cellStyle name="60% - アクセント 1 2" xfId="12" xr:uid="{00000000-0005-0000-0000-00000C000000}"/>
    <cellStyle name="60% - アクセント 2 2" xfId="13" xr:uid="{00000000-0005-0000-0000-00000D000000}"/>
    <cellStyle name="60% - アクセント 3 2" xfId="14" xr:uid="{00000000-0005-0000-0000-00000E000000}"/>
    <cellStyle name="60% - アクセント 4 2" xfId="15" xr:uid="{00000000-0005-0000-0000-00000F000000}"/>
    <cellStyle name="60% - アクセント 5 2" xfId="16" xr:uid="{00000000-0005-0000-0000-000010000000}"/>
    <cellStyle name="60% - アクセント 6 2" xfId="17" xr:uid="{00000000-0005-0000-0000-000011000000}"/>
    <cellStyle name="アクセント 1 2" xfId="18" xr:uid="{00000000-0005-0000-0000-000012000000}"/>
    <cellStyle name="アクセント 2 2" xfId="19" xr:uid="{00000000-0005-0000-0000-000013000000}"/>
    <cellStyle name="アクセント 3 2" xfId="20" xr:uid="{00000000-0005-0000-0000-000014000000}"/>
    <cellStyle name="アクセント 4 2" xfId="21" xr:uid="{00000000-0005-0000-0000-000015000000}"/>
    <cellStyle name="アクセント 5 2" xfId="22" xr:uid="{00000000-0005-0000-0000-000016000000}"/>
    <cellStyle name="アクセント 6 2" xfId="23" xr:uid="{00000000-0005-0000-0000-000017000000}"/>
    <cellStyle name="タイトル 2" xfId="24" xr:uid="{00000000-0005-0000-0000-000018000000}"/>
    <cellStyle name="チェック セル 2" xfId="25" xr:uid="{00000000-0005-0000-0000-000019000000}"/>
    <cellStyle name="どちらでもない 2" xfId="26" xr:uid="{00000000-0005-0000-0000-00001A000000}"/>
    <cellStyle name="パーセント 2" xfId="27" xr:uid="{00000000-0005-0000-0000-00001B000000}"/>
    <cellStyle name="パーセント 2 2" xfId="28" xr:uid="{00000000-0005-0000-0000-00001C000000}"/>
    <cellStyle name="パーセント 2 3" xfId="29" xr:uid="{00000000-0005-0000-0000-00001D000000}"/>
    <cellStyle name="ハイパーリンク" xfId="30" builtinId="8"/>
    <cellStyle name="メモ 2" xfId="31" xr:uid="{00000000-0005-0000-0000-00001F000000}"/>
    <cellStyle name="リンク セル 2" xfId="32" xr:uid="{00000000-0005-0000-0000-000020000000}"/>
    <cellStyle name="悪い 2" xfId="33" xr:uid="{00000000-0005-0000-0000-000021000000}"/>
    <cellStyle name="計算 2" xfId="34" xr:uid="{00000000-0005-0000-0000-000022000000}"/>
    <cellStyle name="警告文 2" xfId="35" xr:uid="{00000000-0005-0000-0000-000023000000}"/>
    <cellStyle name="桁区切り 2" xfId="36" xr:uid="{00000000-0005-0000-0000-000024000000}"/>
    <cellStyle name="見出し 1 2" xfId="37" xr:uid="{00000000-0005-0000-0000-000025000000}"/>
    <cellStyle name="見出し 2 2" xfId="38" xr:uid="{00000000-0005-0000-0000-000026000000}"/>
    <cellStyle name="見出し 3 2" xfId="39" xr:uid="{00000000-0005-0000-0000-000027000000}"/>
    <cellStyle name="見出し 4 2" xfId="40" xr:uid="{00000000-0005-0000-0000-000028000000}"/>
    <cellStyle name="集計 2" xfId="41" xr:uid="{00000000-0005-0000-0000-000029000000}"/>
    <cellStyle name="出力 2" xfId="42" xr:uid="{00000000-0005-0000-0000-00002A000000}"/>
    <cellStyle name="説明文 2" xfId="43" xr:uid="{00000000-0005-0000-0000-00002B000000}"/>
    <cellStyle name="通貨 2" xfId="44" xr:uid="{00000000-0005-0000-0000-00002C000000}"/>
    <cellStyle name="通貨 2 2" xfId="45" xr:uid="{00000000-0005-0000-0000-00002D000000}"/>
    <cellStyle name="通貨 2 2 2" xfId="46" xr:uid="{00000000-0005-0000-0000-00002E000000}"/>
    <cellStyle name="通貨 2 2 3" xfId="47" xr:uid="{00000000-0005-0000-0000-00002F000000}"/>
    <cellStyle name="通貨 2 3" xfId="48" xr:uid="{00000000-0005-0000-0000-000030000000}"/>
    <cellStyle name="通貨 2 4" xfId="49" xr:uid="{00000000-0005-0000-0000-000031000000}"/>
    <cellStyle name="通貨 2 5" xfId="50" xr:uid="{00000000-0005-0000-0000-000032000000}"/>
    <cellStyle name="通貨 2 6" xfId="51" xr:uid="{00000000-0005-0000-0000-000033000000}"/>
    <cellStyle name="通貨 3" xfId="52" xr:uid="{00000000-0005-0000-0000-000034000000}"/>
    <cellStyle name="通貨 3 2" xfId="53" xr:uid="{00000000-0005-0000-0000-000035000000}"/>
    <cellStyle name="入力 2" xfId="54" xr:uid="{00000000-0005-0000-0000-000036000000}"/>
    <cellStyle name="標準" xfId="0" builtinId="0"/>
    <cellStyle name="標準 10" xfId="55" xr:uid="{00000000-0005-0000-0000-000038000000}"/>
    <cellStyle name="標準 11" xfId="56" xr:uid="{00000000-0005-0000-0000-000039000000}"/>
    <cellStyle name="標準 12" xfId="57" xr:uid="{00000000-0005-0000-0000-00003A000000}"/>
    <cellStyle name="標準 13" xfId="58" xr:uid="{00000000-0005-0000-0000-00003B000000}"/>
    <cellStyle name="標準 14" xfId="59" xr:uid="{00000000-0005-0000-0000-00003C000000}"/>
    <cellStyle name="標準 15" xfId="60" xr:uid="{00000000-0005-0000-0000-00003D000000}"/>
    <cellStyle name="標準 16" xfId="61" xr:uid="{00000000-0005-0000-0000-00003E000000}"/>
    <cellStyle name="標準 17" xfId="62" xr:uid="{00000000-0005-0000-0000-00003F000000}"/>
    <cellStyle name="標準 18" xfId="63" xr:uid="{00000000-0005-0000-0000-000040000000}"/>
    <cellStyle name="標準 19" xfId="64" xr:uid="{00000000-0005-0000-0000-000041000000}"/>
    <cellStyle name="標準 2" xfId="65" xr:uid="{00000000-0005-0000-0000-000042000000}"/>
    <cellStyle name="標準 2 2" xfId="66" xr:uid="{00000000-0005-0000-0000-000043000000}"/>
    <cellStyle name="標準 2 3" xfId="67" xr:uid="{00000000-0005-0000-0000-000044000000}"/>
    <cellStyle name="標準 2 3 2" xfId="68" xr:uid="{00000000-0005-0000-0000-000045000000}"/>
    <cellStyle name="標準 2 4" xfId="69" xr:uid="{00000000-0005-0000-0000-000046000000}"/>
    <cellStyle name="標準 2 5" xfId="70" xr:uid="{00000000-0005-0000-0000-000047000000}"/>
    <cellStyle name="標準 2 6" xfId="71" xr:uid="{00000000-0005-0000-0000-000048000000}"/>
    <cellStyle name="標準 2 7" xfId="72" xr:uid="{00000000-0005-0000-0000-000049000000}"/>
    <cellStyle name="標準 20" xfId="73" xr:uid="{00000000-0005-0000-0000-00004A000000}"/>
    <cellStyle name="標準 21" xfId="74" xr:uid="{00000000-0005-0000-0000-00004B000000}"/>
    <cellStyle name="標準 22" xfId="75" xr:uid="{00000000-0005-0000-0000-00004C000000}"/>
    <cellStyle name="標準 23" xfId="76" xr:uid="{00000000-0005-0000-0000-00004D000000}"/>
    <cellStyle name="標準 24" xfId="77" xr:uid="{00000000-0005-0000-0000-00004E000000}"/>
    <cellStyle name="標準 25" xfId="78" xr:uid="{00000000-0005-0000-0000-00004F000000}"/>
    <cellStyle name="標準 26" xfId="79" xr:uid="{00000000-0005-0000-0000-000050000000}"/>
    <cellStyle name="標準 27" xfId="80" xr:uid="{00000000-0005-0000-0000-000051000000}"/>
    <cellStyle name="標準 28" xfId="81" xr:uid="{00000000-0005-0000-0000-000052000000}"/>
    <cellStyle name="標準 29" xfId="82" xr:uid="{00000000-0005-0000-0000-000053000000}"/>
    <cellStyle name="標準 3" xfId="83" xr:uid="{00000000-0005-0000-0000-000054000000}"/>
    <cellStyle name="標準 3 2" xfId="84" xr:uid="{00000000-0005-0000-0000-000055000000}"/>
    <cellStyle name="標準 3 3" xfId="85" xr:uid="{00000000-0005-0000-0000-000056000000}"/>
    <cellStyle name="標準 30" xfId="86" xr:uid="{00000000-0005-0000-0000-000057000000}"/>
    <cellStyle name="標準 31" xfId="87" xr:uid="{00000000-0005-0000-0000-000058000000}"/>
    <cellStyle name="標準 32" xfId="88" xr:uid="{00000000-0005-0000-0000-000059000000}"/>
    <cellStyle name="標準 33" xfId="89" xr:uid="{00000000-0005-0000-0000-00005A000000}"/>
    <cellStyle name="標準 34" xfId="90" xr:uid="{00000000-0005-0000-0000-00005B000000}"/>
    <cellStyle name="標準 35" xfId="91" xr:uid="{00000000-0005-0000-0000-00005C000000}"/>
    <cellStyle name="標準 36" xfId="92" xr:uid="{00000000-0005-0000-0000-00005D000000}"/>
    <cellStyle name="標準 37" xfId="93" xr:uid="{00000000-0005-0000-0000-00005E000000}"/>
    <cellStyle name="標準 38" xfId="94" xr:uid="{00000000-0005-0000-0000-00005F000000}"/>
    <cellStyle name="標準 39" xfId="95" xr:uid="{00000000-0005-0000-0000-000060000000}"/>
    <cellStyle name="標準 4" xfId="96" xr:uid="{00000000-0005-0000-0000-000061000000}"/>
    <cellStyle name="標準 4 2" xfId="97" xr:uid="{00000000-0005-0000-0000-000062000000}"/>
    <cellStyle name="標準 4 2 2" xfId="98" xr:uid="{00000000-0005-0000-0000-000063000000}"/>
    <cellStyle name="標準 4 3" xfId="99" xr:uid="{00000000-0005-0000-0000-000064000000}"/>
    <cellStyle name="標準 40" xfId="100" xr:uid="{00000000-0005-0000-0000-000065000000}"/>
    <cellStyle name="標準 41" xfId="101" xr:uid="{00000000-0005-0000-0000-000066000000}"/>
    <cellStyle name="標準 42" xfId="102" xr:uid="{00000000-0005-0000-0000-000067000000}"/>
    <cellStyle name="標準 43" xfId="103" xr:uid="{00000000-0005-0000-0000-000068000000}"/>
    <cellStyle name="標準 44" xfId="104" xr:uid="{00000000-0005-0000-0000-000069000000}"/>
    <cellStyle name="標準 45" xfId="105" xr:uid="{00000000-0005-0000-0000-00006A000000}"/>
    <cellStyle name="標準 46" xfId="106" xr:uid="{00000000-0005-0000-0000-00006B000000}"/>
    <cellStyle name="標準 47" xfId="107" xr:uid="{00000000-0005-0000-0000-00006C000000}"/>
    <cellStyle name="標準 48" xfId="108" xr:uid="{00000000-0005-0000-0000-00006D000000}"/>
    <cellStyle name="標準 49" xfId="109" xr:uid="{00000000-0005-0000-0000-00006E000000}"/>
    <cellStyle name="標準 5" xfId="110" xr:uid="{00000000-0005-0000-0000-00006F000000}"/>
    <cellStyle name="標準 5 2" xfId="111" xr:uid="{00000000-0005-0000-0000-000070000000}"/>
    <cellStyle name="標準 5 2 2" xfId="112" xr:uid="{00000000-0005-0000-0000-000071000000}"/>
    <cellStyle name="標準 5 2 3" xfId="113" xr:uid="{00000000-0005-0000-0000-000072000000}"/>
    <cellStyle name="標準 5 2 4" xfId="114" xr:uid="{00000000-0005-0000-0000-000073000000}"/>
    <cellStyle name="標準 5 3" xfId="115" xr:uid="{00000000-0005-0000-0000-000074000000}"/>
    <cellStyle name="標準 5 4" xfId="116" xr:uid="{00000000-0005-0000-0000-000075000000}"/>
    <cellStyle name="標準 5 5" xfId="117" xr:uid="{00000000-0005-0000-0000-000076000000}"/>
    <cellStyle name="標準 50" xfId="118" xr:uid="{00000000-0005-0000-0000-000077000000}"/>
    <cellStyle name="標準 51" xfId="119" xr:uid="{00000000-0005-0000-0000-000078000000}"/>
    <cellStyle name="標準 52" xfId="120" xr:uid="{00000000-0005-0000-0000-000079000000}"/>
    <cellStyle name="標準 53" xfId="121" xr:uid="{00000000-0005-0000-0000-00007A000000}"/>
    <cellStyle name="標準 54" xfId="122" xr:uid="{00000000-0005-0000-0000-00007B000000}"/>
    <cellStyle name="標準 55" xfId="123" xr:uid="{00000000-0005-0000-0000-00007C000000}"/>
    <cellStyle name="標準 6" xfId="124" xr:uid="{00000000-0005-0000-0000-00007D000000}"/>
    <cellStyle name="標準 6 2" xfId="125" xr:uid="{00000000-0005-0000-0000-00007E000000}"/>
    <cellStyle name="標準 7" xfId="126" xr:uid="{00000000-0005-0000-0000-00007F000000}"/>
    <cellStyle name="標準 7 2" xfId="127" xr:uid="{00000000-0005-0000-0000-000080000000}"/>
    <cellStyle name="標準 7 3" xfId="128" xr:uid="{00000000-0005-0000-0000-000081000000}"/>
    <cellStyle name="標準 7 4" xfId="129" xr:uid="{00000000-0005-0000-0000-000082000000}"/>
    <cellStyle name="標準 7 5" xfId="130" xr:uid="{00000000-0005-0000-0000-000083000000}"/>
    <cellStyle name="標準 8" xfId="131" xr:uid="{00000000-0005-0000-0000-000084000000}"/>
    <cellStyle name="標準 8 2" xfId="132" xr:uid="{00000000-0005-0000-0000-000085000000}"/>
    <cellStyle name="標準 9" xfId="133" xr:uid="{00000000-0005-0000-0000-000086000000}"/>
    <cellStyle name="標準 9 2" xfId="134" xr:uid="{00000000-0005-0000-0000-000087000000}"/>
    <cellStyle name="標準 9 2 2" xfId="135" xr:uid="{00000000-0005-0000-0000-000088000000}"/>
    <cellStyle name="標準_主要用途" xfId="136" xr:uid="{00000000-0005-0000-0000-000089000000}"/>
    <cellStyle name="標準_提案フォーマット" xfId="137" xr:uid="{00000000-0005-0000-0000-00008A000000}"/>
    <cellStyle name="良い 2" xfId="138" xr:uid="{00000000-0005-0000-0000-00008B000000}"/>
  </cellStyles>
  <dxfs count="0"/>
  <tableStyles count="0" defaultTableStyle="TableStyleMedium9" defaultPivotStyle="PivotStyleLight16"/>
  <colors>
    <mruColors>
      <color rgb="FFFFFF99"/>
      <color rgb="FF99CCFF"/>
      <color rgb="FFCCFFCC"/>
      <color rgb="FF99CC00"/>
      <color rgb="FF33CCFF"/>
      <color rgb="FFCCFFFF"/>
      <color rgb="FFFFFFCC"/>
      <color rgb="FFFF99CC"/>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57150</xdr:colOff>
      <xdr:row>59</xdr:row>
      <xdr:rowOff>28575</xdr:rowOff>
    </xdr:from>
    <xdr:to>
      <xdr:col>7</xdr:col>
      <xdr:colOff>0</xdr:colOff>
      <xdr:row>61</xdr:row>
      <xdr:rowOff>28575</xdr:rowOff>
    </xdr:to>
    <xdr:sp macro="" textlink="">
      <xdr:nvSpPr>
        <xdr:cNvPr id="2" name="AutoShape 1">
          <a:extLst>
            <a:ext uri="{FF2B5EF4-FFF2-40B4-BE49-F238E27FC236}">
              <a16:creationId xmlns:a16="http://schemas.microsoft.com/office/drawing/2014/main" id="{235C8987-CD61-4858-81BE-2701439C2AA0}"/>
            </a:ext>
          </a:extLst>
        </xdr:cNvPr>
        <xdr:cNvSpPr>
          <a:spLocks noChangeArrowheads="1"/>
        </xdr:cNvSpPr>
      </xdr:nvSpPr>
      <xdr:spPr bwMode="auto">
        <a:xfrm>
          <a:off x="742950" y="10144125"/>
          <a:ext cx="4057650" cy="342900"/>
        </a:xfrm>
        <a:prstGeom prst="bracketPair">
          <a:avLst>
            <a:gd name="adj" fmla="val 73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65</xdr:row>
      <xdr:rowOff>38100</xdr:rowOff>
    </xdr:from>
    <xdr:to>
      <xdr:col>7</xdr:col>
      <xdr:colOff>190500</xdr:colOff>
      <xdr:row>67</xdr:row>
      <xdr:rowOff>47625</xdr:rowOff>
    </xdr:to>
    <xdr:sp macro="" textlink="">
      <xdr:nvSpPr>
        <xdr:cNvPr id="3" name="AutoShape 2">
          <a:extLst>
            <a:ext uri="{FF2B5EF4-FFF2-40B4-BE49-F238E27FC236}">
              <a16:creationId xmlns:a16="http://schemas.microsoft.com/office/drawing/2014/main" id="{2CD5D2F8-74DF-4EA9-89DB-ADE9EF09D476}"/>
            </a:ext>
          </a:extLst>
        </xdr:cNvPr>
        <xdr:cNvSpPr>
          <a:spLocks noChangeArrowheads="1"/>
        </xdr:cNvSpPr>
      </xdr:nvSpPr>
      <xdr:spPr bwMode="auto">
        <a:xfrm>
          <a:off x="47625" y="11182350"/>
          <a:ext cx="4943475"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42</xdr:row>
      <xdr:rowOff>9525</xdr:rowOff>
    </xdr:from>
    <xdr:to>
      <xdr:col>7</xdr:col>
      <xdr:colOff>57150</xdr:colOff>
      <xdr:row>43</xdr:row>
      <xdr:rowOff>114300</xdr:rowOff>
    </xdr:to>
    <xdr:sp macro="" textlink="">
      <xdr:nvSpPr>
        <xdr:cNvPr id="4" name="AutoShape 3">
          <a:extLst>
            <a:ext uri="{FF2B5EF4-FFF2-40B4-BE49-F238E27FC236}">
              <a16:creationId xmlns:a16="http://schemas.microsoft.com/office/drawing/2014/main" id="{10A314CF-1280-4E6C-8453-F82FBA32A4FF}"/>
            </a:ext>
          </a:extLst>
        </xdr:cNvPr>
        <xdr:cNvSpPr>
          <a:spLocks noChangeArrowheads="1"/>
        </xdr:cNvSpPr>
      </xdr:nvSpPr>
      <xdr:spPr bwMode="auto">
        <a:xfrm>
          <a:off x="704850" y="7210425"/>
          <a:ext cx="415290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0</xdr:colOff>
      <xdr:row>12</xdr:row>
      <xdr:rowOff>0</xdr:rowOff>
    </xdr:from>
    <xdr:to>
      <xdr:col>52</xdr:col>
      <xdr:colOff>19050</xdr:colOff>
      <xdr:row>15</xdr:row>
      <xdr:rowOff>76200</xdr:rowOff>
    </xdr:to>
    <xdr:sp macro="" textlink="">
      <xdr:nvSpPr>
        <xdr:cNvPr id="5" name="テキスト ボックス 4">
          <a:extLst>
            <a:ext uri="{FF2B5EF4-FFF2-40B4-BE49-F238E27FC236}">
              <a16:creationId xmlns:a16="http://schemas.microsoft.com/office/drawing/2014/main" id="{9FE199AF-BA66-44FB-9792-8C789A08443A}"/>
            </a:ext>
          </a:extLst>
        </xdr:cNvPr>
        <xdr:cNvSpPr txBox="1"/>
      </xdr:nvSpPr>
      <xdr:spPr>
        <a:xfrm>
          <a:off x="21259800" y="2057400"/>
          <a:ext cx="1442085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twoCellAnchor>
    <xdr:from>
      <xdr:col>31</xdr:col>
      <xdr:colOff>0</xdr:colOff>
      <xdr:row>26</xdr:row>
      <xdr:rowOff>161925</xdr:rowOff>
    </xdr:from>
    <xdr:to>
      <xdr:col>52</xdr:col>
      <xdr:colOff>19050</xdr:colOff>
      <xdr:row>30</xdr:row>
      <xdr:rowOff>66675</xdr:rowOff>
    </xdr:to>
    <xdr:sp macro="" textlink="">
      <xdr:nvSpPr>
        <xdr:cNvPr id="6" name="テキスト ボックス 5">
          <a:extLst>
            <a:ext uri="{FF2B5EF4-FFF2-40B4-BE49-F238E27FC236}">
              <a16:creationId xmlns:a16="http://schemas.microsoft.com/office/drawing/2014/main" id="{8B8C2351-D844-4E19-BB91-9B07673718B3}"/>
            </a:ext>
          </a:extLst>
        </xdr:cNvPr>
        <xdr:cNvSpPr txBox="1"/>
      </xdr:nvSpPr>
      <xdr:spPr>
        <a:xfrm>
          <a:off x="21259800" y="4619625"/>
          <a:ext cx="1442085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工事監理者変更の場合は適宜修正して下さい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0</xdr:colOff>
      <xdr:row>23</xdr:row>
      <xdr:rowOff>0</xdr:rowOff>
    </xdr:from>
    <xdr:to>
      <xdr:col>39</xdr:col>
      <xdr:colOff>0</xdr:colOff>
      <xdr:row>23</xdr:row>
      <xdr:rowOff>0</xdr:rowOff>
    </xdr:to>
    <xdr:sp macro="" textlink="">
      <xdr:nvSpPr>
        <xdr:cNvPr id="2" name="Text Box 1">
          <a:extLst>
            <a:ext uri="{FF2B5EF4-FFF2-40B4-BE49-F238E27FC236}">
              <a16:creationId xmlns:a16="http://schemas.microsoft.com/office/drawing/2014/main" id="{C8F4E044-38D0-40D3-9B9A-9E34587E7A70}"/>
            </a:ext>
          </a:extLst>
        </xdr:cNvPr>
        <xdr:cNvSpPr txBox="1">
          <a:spLocks noChangeArrowheads="1"/>
        </xdr:cNvSpPr>
      </xdr:nvSpPr>
      <xdr:spPr bwMode="auto">
        <a:xfrm>
          <a:off x="7800975" y="39433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建築主が法人の場合下欄に記入</a:t>
          </a:r>
        </a:p>
      </xdr:txBody>
    </xdr:sp>
    <xdr:clientData/>
  </xdr:twoCellAnchor>
  <xdr:twoCellAnchor>
    <xdr:from>
      <xdr:col>34</xdr:col>
      <xdr:colOff>104775</xdr:colOff>
      <xdr:row>16</xdr:row>
      <xdr:rowOff>28574</xdr:rowOff>
    </xdr:from>
    <xdr:to>
      <xdr:col>43</xdr:col>
      <xdr:colOff>142875</xdr:colOff>
      <xdr:row>19</xdr:row>
      <xdr:rowOff>28575</xdr:rowOff>
    </xdr:to>
    <xdr:sp macro="" textlink="">
      <xdr:nvSpPr>
        <xdr:cNvPr id="3" name="テキスト ボックス 2">
          <a:extLst>
            <a:ext uri="{FF2B5EF4-FFF2-40B4-BE49-F238E27FC236}">
              <a16:creationId xmlns:a16="http://schemas.microsoft.com/office/drawing/2014/main" id="{2C019F8F-BF1C-429B-8E15-EEFA3D35D3CE}"/>
            </a:ext>
          </a:extLst>
        </xdr:cNvPr>
        <xdr:cNvSpPr txBox="1"/>
      </xdr:nvSpPr>
      <xdr:spPr>
        <a:xfrm>
          <a:off x="6905625" y="2771774"/>
          <a:ext cx="1838325" cy="514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twoCellAnchor>
    <xdr:from>
      <xdr:col>34</xdr:col>
      <xdr:colOff>95250</xdr:colOff>
      <xdr:row>47</xdr:row>
      <xdr:rowOff>85725</xdr:rowOff>
    </xdr:from>
    <xdr:to>
      <xdr:col>42</xdr:col>
      <xdr:colOff>95251</xdr:colOff>
      <xdr:row>50</xdr:row>
      <xdr:rowOff>76200</xdr:rowOff>
    </xdr:to>
    <xdr:sp macro="" textlink="">
      <xdr:nvSpPr>
        <xdr:cNvPr id="4" name="テキスト ボックス 3">
          <a:extLst>
            <a:ext uri="{FF2B5EF4-FFF2-40B4-BE49-F238E27FC236}">
              <a16:creationId xmlns:a16="http://schemas.microsoft.com/office/drawing/2014/main" id="{4CC9D02F-99C2-4C16-8C1C-89EC03FA8470}"/>
            </a:ext>
          </a:extLst>
        </xdr:cNvPr>
        <xdr:cNvSpPr txBox="1"/>
      </xdr:nvSpPr>
      <xdr:spPr>
        <a:xfrm>
          <a:off x="6896100" y="8143875"/>
          <a:ext cx="1600201"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電子申請の場合は副本は不要です。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47625</xdr:colOff>
      <xdr:row>45</xdr:row>
      <xdr:rowOff>161925</xdr:rowOff>
    </xdr:from>
    <xdr:to>
      <xdr:col>47</xdr:col>
      <xdr:colOff>19051</xdr:colOff>
      <xdr:row>49</xdr:row>
      <xdr:rowOff>38100</xdr:rowOff>
    </xdr:to>
    <xdr:sp macro="" textlink="">
      <xdr:nvSpPr>
        <xdr:cNvPr id="2" name="テキスト ボックス 1">
          <a:extLst>
            <a:ext uri="{FF2B5EF4-FFF2-40B4-BE49-F238E27FC236}">
              <a16:creationId xmlns:a16="http://schemas.microsoft.com/office/drawing/2014/main" id="{DD3542BA-86DB-4666-BD13-6B1E717B65F6}"/>
            </a:ext>
          </a:extLst>
        </xdr:cNvPr>
        <xdr:cNvSpPr txBox="1"/>
      </xdr:nvSpPr>
      <xdr:spPr>
        <a:xfrm>
          <a:off x="6924675" y="7877175"/>
          <a:ext cx="1600201"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電子申請の場合は副本は不要です。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13</xdr:row>
      <xdr:rowOff>0</xdr:rowOff>
    </xdr:from>
    <xdr:to>
      <xdr:col>39</xdr:col>
      <xdr:colOff>0</xdr:colOff>
      <xdr:row>13</xdr:row>
      <xdr:rowOff>0</xdr:rowOff>
    </xdr:to>
    <xdr:sp macro="" textlink="">
      <xdr:nvSpPr>
        <xdr:cNvPr id="2" name="Text Box 1">
          <a:extLst>
            <a:ext uri="{FF2B5EF4-FFF2-40B4-BE49-F238E27FC236}">
              <a16:creationId xmlns:a16="http://schemas.microsoft.com/office/drawing/2014/main" id="{A29D604C-DA2C-4D55-8AA7-9753D50BDB9C}"/>
            </a:ext>
          </a:extLst>
        </xdr:cNvPr>
        <xdr:cNvSpPr txBox="1">
          <a:spLocks noChangeArrowheads="1"/>
        </xdr:cNvSpPr>
      </xdr:nvSpPr>
      <xdr:spPr bwMode="auto">
        <a:xfrm>
          <a:off x="7800975" y="22288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建築主が法人の場合下欄に記入</a:t>
          </a:r>
        </a:p>
      </xdr:txBody>
    </xdr:sp>
    <xdr:clientData/>
  </xdr:twoCellAnchor>
  <xdr:twoCellAnchor>
    <xdr:from>
      <xdr:col>33</xdr:col>
      <xdr:colOff>38100</xdr:colOff>
      <xdr:row>31</xdr:row>
      <xdr:rowOff>1</xdr:rowOff>
    </xdr:from>
    <xdr:to>
      <xdr:col>56</xdr:col>
      <xdr:colOff>57150</xdr:colOff>
      <xdr:row>34</xdr:row>
      <xdr:rowOff>104776</xdr:rowOff>
    </xdr:to>
    <xdr:sp macro="" textlink="">
      <xdr:nvSpPr>
        <xdr:cNvPr id="3" name="テキスト ボックス 2">
          <a:extLst>
            <a:ext uri="{FF2B5EF4-FFF2-40B4-BE49-F238E27FC236}">
              <a16:creationId xmlns:a16="http://schemas.microsoft.com/office/drawing/2014/main" id="{CB717FD6-61A4-4041-AFEA-40DE59DB0239}"/>
            </a:ext>
          </a:extLst>
        </xdr:cNvPr>
        <xdr:cNvSpPr txBox="1"/>
      </xdr:nvSpPr>
      <xdr:spPr>
        <a:xfrm>
          <a:off x="6638925" y="5314951"/>
          <a:ext cx="461962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自動で全ての変更の種別に「変更前」の内容が記載されています。</a:t>
          </a:r>
          <a:endParaRPr kumimoji="1" lang="en-US" altLang="ja-JP" sz="1100"/>
        </a:p>
        <a:p>
          <a:r>
            <a:rPr kumimoji="1" lang="ja-JP" altLang="en-US" sz="1100"/>
            <a:t>今回の変更内容に沿うように適宜削除して下さい。</a:t>
          </a:r>
          <a:endParaRPr kumimoji="1" lang="en-US" altLang="ja-JP" sz="1100"/>
        </a:p>
      </xdr:txBody>
    </xdr:sp>
    <xdr:clientData/>
  </xdr:twoCellAnchor>
  <xdr:twoCellAnchor>
    <xdr:from>
      <xdr:col>33</xdr:col>
      <xdr:colOff>66675</xdr:colOff>
      <xdr:row>9</xdr:row>
      <xdr:rowOff>28575</xdr:rowOff>
    </xdr:from>
    <xdr:to>
      <xdr:col>42</xdr:col>
      <xdr:colOff>47625</xdr:colOff>
      <xdr:row>14</xdr:row>
      <xdr:rowOff>19050</xdr:rowOff>
    </xdr:to>
    <xdr:sp macro="" textlink="">
      <xdr:nvSpPr>
        <xdr:cNvPr id="4" name="テキスト ボックス 3">
          <a:extLst>
            <a:ext uri="{FF2B5EF4-FFF2-40B4-BE49-F238E27FC236}">
              <a16:creationId xmlns:a16="http://schemas.microsoft.com/office/drawing/2014/main" id="{EC15BF6C-3B88-4D70-8E2E-D0442FF787E6}"/>
            </a:ext>
          </a:extLst>
        </xdr:cNvPr>
        <xdr:cNvSpPr txBox="1"/>
      </xdr:nvSpPr>
      <xdr:spPr>
        <a:xfrm>
          <a:off x="6667500" y="1571625"/>
          <a:ext cx="178117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twoCellAnchor>
    <xdr:from>
      <xdr:col>33</xdr:col>
      <xdr:colOff>38100</xdr:colOff>
      <xdr:row>62</xdr:row>
      <xdr:rowOff>123825</xdr:rowOff>
    </xdr:from>
    <xdr:to>
      <xdr:col>41</xdr:col>
      <xdr:colOff>38101</xdr:colOff>
      <xdr:row>66</xdr:row>
      <xdr:rowOff>57150</xdr:rowOff>
    </xdr:to>
    <xdr:sp macro="" textlink="">
      <xdr:nvSpPr>
        <xdr:cNvPr id="5" name="テキスト ボックス 4">
          <a:extLst>
            <a:ext uri="{FF2B5EF4-FFF2-40B4-BE49-F238E27FC236}">
              <a16:creationId xmlns:a16="http://schemas.microsoft.com/office/drawing/2014/main" id="{DEFEE698-1A5A-49EC-B5E0-EC30C8142900}"/>
            </a:ext>
          </a:extLst>
        </xdr:cNvPr>
        <xdr:cNvSpPr txBox="1"/>
      </xdr:nvSpPr>
      <xdr:spPr>
        <a:xfrm>
          <a:off x="6638925" y="10753725"/>
          <a:ext cx="1600201"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電子申請の場合は副本は不要です。</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12</xdr:row>
      <xdr:rowOff>0</xdr:rowOff>
    </xdr:from>
    <xdr:to>
      <xdr:col>39</xdr:col>
      <xdr:colOff>0</xdr:colOff>
      <xdr:row>12</xdr:row>
      <xdr:rowOff>0</xdr:rowOff>
    </xdr:to>
    <xdr:sp macro="" textlink="">
      <xdr:nvSpPr>
        <xdr:cNvPr id="2" name="Text Box 1">
          <a:extLst>
            <a:ext uri="{FF2B5EF4-FFF2-40B4-BE49-F238E27FC236}">
              <a16:creationId xmlns:a16="http://schemas.microsoft.com/office/drawing/2014/main" id="{D0D6E499-4500-47A9-994C-75442336CF0E}"/>
            </a:ext>
          </a:extLst>
        </xdr:cNvPr>
        <xdr:cNvSpPr txBox="1">
          <a:spLocks noChangeArrowheads="1"/>
        </xdr:cNvSpPr>
      </xdr:nvSpPr>
      <xdr:spPr bwMode="auto">
        <a:xfrm>
          <a:off x="7800975" y="20574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建築主が法人の場合下欄に記入</a:t>
          </a:r>
        </a:p>
      </xdr:txBody>
    </xdr:sp>
    <xdr:clientData/>
  </xdr:twoCellAnchor>
  <xdr:twoCellAnchor>
    <xdr:from>
      <xdr:col>32</xdr:col>
      <xdr:colOff>131883</xdr:colOff>
      <xdr:row>3</xdr:row>
      <xdr:rowOff>36636</xdr:rowOff>
    </xdr:from>
    <xdr:to>
      <xdr:col>43</xdr:col>
      <xdr:colOff>183173</xdr:colOff>
      <xdr:row>6</xdr:row>
      <xdr:rowOff>1</xdr:rowOff>
    </xdr:to>
    <xdr:sp macro="" textlink="">
      <xdr:nvSpPr>
        <xdr:cNvPr id="3" name="Text Box 8">
          <a:extLst>
            <a:ext uri="{FF2B5EF4-FFF2-40B4-BE49-F238E27FC236}">
              <a16:creationId xmlns:a16="http://schemas.microsoft.com/office/drawing/2014/main" id="{8130ADA3-0BE4-49F3-8FA2-90B995C55B54}"/>
            </a:ext>
          </a:extLst>
        </xdr:cNvPr>
        <xdr:cNvSpPr txBox="1">
          <a:spLocks noChangeArrowheads="1"/>
        </xdr:cNvSpPr>
      </xdr:nvSpPr>
      <xdr:spPr bwMode="auto">
        <a:xfrm>
          <a:off x="6532683" y="550986"/>
          <a:ext cx="2251565" cy="477715"/>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工事監理者の変更が多数生じる場合は、こちらの用紙をご使用ください。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33</xdr:col>
      <xdr:colOff>95250</xdr:colOff>
      <xdr:row>7</xdr:row>
      <xdr:rowOff>95250</xdr:rowOff>
    </xdr:from>
    <xdr:ext cx="184731" cy="264560"/>
    <xdr:sp macro="" textlink="">
      <xdr:nvSpPr>
        <xdr:cNvPr id="4" name="テキスト ボックス 3">
          <a:extLst>
            <a:ext uri="{FF2B5EF4-FFF2-40B4-BE49-F238E27FC236}">
              <a16:creationId xmlns:a16="http://schemas.microsoft.com/office/drawing/2014/main" id="{0F5894ED-A403-4F41-BC51-420760FFD099}"/>
            </a:ext>
          </a:extLst>
        </xdr:cNvPr>
        <xdr:cNvSpPr txBox="1"/>
      </xdr:nvSpPr>
      <xdr:spPr>
        <a:xfrm>
          <a:off x="6696075" y="129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34</xdr:col>
      <xdr:colOff>161193</xdr:colOff>
      <xdr:row>12</xdr:row>
      <xdr:rowOff>36635</xdr:rowOff>
    </xdr:from>
    <xdr:ext cx="184731" cy="264560"/>
    <xdr:sp macro="" textlink="">
      <xdr:nvSpPr>
        <xdr:cNvPr id="5" name="テキスト ボックス 4">
          <a:extLst>
            <a:ext uri="{FF2B5EF4-FFF2-40B4-BE49-F238E27FC236}">
              <a16:creationId xmlns:a16="http://schemas.microsoft.com/office/drawing/2014/main" id="{4ECD252E-2382-4CC2-87D0-2F1ACE7123BB}"/>
            </a:ext>
          </a:extLst>
        </xdr:cNvPr>
        <xdr:cNvSpPr txBox="1"/>
      </xdr:nvSpPr>
      <xdr:spPr>
        <a:xfrm>
          <a:off x="6962043" y="2094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32</xdr:col>
      <xdr:colOff>139211</xdr:colOff>
      <xdr:row>7</xdr:row>
      <xdr:rowOff>36635</xdr:rowOff>
    </xdr:from>
    <xdr:to>
      <xdr:col>43</xdr:col>
      <xdr:colOff>190501</xdr:colOff>
      <xdr:row>10</xdr:row>
      <xdr:rowOff>14655</xdr:rowOff>
    </xdr:to>
    <xdr:sp macro="" textlink="">
      <xdr:nvSpPr>
        <xdr:cNvPr id="6" name="Text Box 8">
          <a:extLst>
            <a:ext uri="{FF2B5EF4-FFF2-40B4-BE49-F238E27FC236}">
              <a16:creationId xmlns:a16="http://schemas.microsoft.com/office/drawing/2014/main" id="{FECC04A4-BFA7-439D-A800-857215964710}"/>
            </a:ext>
          </a:extLst>
        </xdr:cNvPr>
        <xdr:cNvSpPr txBox="1">
          <a:spLocks noChangeArrowheads="1"/>
        </xdr:cNvSpPr>
      </xdr:nvSpPr>
      <xdr:spPr bwMode="auto">
        <a:xfrm>
          <a:off x="6540011" y="1236785"/>
          <a:ext cx="2251565" cy="492370"/>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t" upright="1"/>
        <a:lstStyle/>
        <a:p>
          <a:pPr algn="l" rtl="0">
            <a:lnSpc>
              <a:spcPts val="1200"/>
            </a:lnSpc>
            <a:defRPr sz="1000"/>
          </a:pP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変更前・変更後には変更がない方も含め、全員の氏名をご記載願います。</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16</xdr:row>
      <xdr:rowOff>0</xdr:rowOff>
    </xdr:from>
    <xdr:to>
      <xdr:col>40</xdr:col>
      <xdr:colOff>0</xdr:colOff>
      <xdr:row>16</xdr:row>
      <xdr:rowOff>0</xdr:rowOff>
    </xdr:to>
    <xdr:sp macro="" textlink="">
      <xdr:nvSpPr>
        <xdr:cNvPr id="2" name="Text Box 1">
          <a:extLst>
            <a:ext uri="{FF2B5EF4-FFF2-40B4-BE49-F238E27FC236}">
              <a16:creationId xmlns:a16="http://schemas.microsoft.com/office/drawing/2014/main" id="{3CB09693-A132-47EF-965E-ACBC6215AF80}"/>
            </a:ext>
          </a:extLst>
        </xdr:cNvPr>
        <xdr:cNvSpPr txBox="1">
          <a:spLocks noChangeArrowheads="1"/>
        </xdr:cNvSpPr>
      </xdr:nvSpPr>
      <xdr:spPr bwMode="auto">
        <a:xfrm>
          <a:off x="8001000" y="27432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建築主が法人の場合下欄に記入</a:t>
          </a:r>
        </a:p>
      </xdr:txBody>
    </xdr:sp>
    <xdr:clientData/>
  </xdr:twoCellAnchor>
  <xdr:twoCellAnchor>
    <xdr:from>
      <xdr:col>33</xdr:col>
      <xdr:colOff>171450</xdr:colOff>
      <xdr:row>10</xdr:row>
      <xdr:rowOff>85726</xdr:rowOff>
    </xdr:from>
    <xdr:to>
      <xdr:col>42</xdr:col>
      <xdr:colOff>104775</xdr:colOff>
      <xdr:row>12</xdr:row>
      <xdr:rowOff>161926</xdr:rowOff>
    </xdr:to>
    <xdr:sp macro="" textlink="">
      <xdr:nvSpPr>
        <xdr:cNvPr id="3" name="テキスト ボックス 2">
          <a:extLst>
            <a:ext uri="{FF2B5EF4-FFF2-40B4-BE49-F238E27FC236}">
              <a16:creationId xmlns:a16="http://schemas.microsoft.com/office/drawing/2014/main" id="{A5A96D2E-1EE5-40B1-8DAD-698CD2B9106E}"/>
            </a:ext>
          </a:extLst>
        </xdr:cNvPr>
        <xdr:cNvSpPr txBox="1"/>
      </xdr:nvSpPr>
      <xdr:spPr>
        <a:xfrm>
          <a:off x="6772275" y="1800226"/>
          <a:ext cx="173355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76200</xdr:colOff>
      <xdr:row>13</xdr:row>
      <xdr:rowOff>171450</xdr:rowOff>
    </xdr:from>
    <xdr:to>
      <xdr:col>41</xdr:col>
      <xdr:colOff>0</xdr:colOff>
      <xdr:row>16</xdr:row>
      <xdr:rowOff>47625</xdr:rowOff>
    </xdr:to>
    <xdr:sp macro="" textlink="">
      <xdr:nvSpPr>
        <xdr:cNvPr id="2" name="テキスト ボックス 1">
          <a:extLst>
            <a:ext uri="{FF2B5EF4-FFF2-40B4-BE49-F238E27FC236}">
              <a16:creationId xmlns:a16="http://schemas.microsoft.com/office/drawing/2014/main" id="{01106697-445E-49B9-9E1D-D3C125E55EF0}"/>
            </a:ext>
          </a:extLst>
        </xdr:cNvPr>
        <xdr:cNvSpPr txBox="1"/>
      </xdr:nvSpPr>
      <xdr:spPr>
        <a:xfrm>
          <a:off x="6543675" y="2400300"/>
          <a:ext cx="172402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47625</xdr:colOff>
      <xdr:row>13</xdr:row>
      <xdr:rowOff>95250</xdr:rowOff>
    </xdr:from>
    <xdr:to>
      <xdr:col>41</xdr:col>
      <xdr:colOff>0</xdr:colOff>
      <xdr:row>16</xdr:row>
      <xdr:rowOff>0</xdr:rowOff>
    </xdr:to>
    <xdr:sp macro="" textlink="">
      <xdr:nvSpPr>
        <xdr:cNvPr id="2" name="テキスト ボックス 1">
          <a:extLst>
            <a:ext uri="{FF2B5EF4-FFF2-40B4-BE49-F238E27FC236}">
              <a16:creationId xmlns:a16="http://schemas.microsoft.com/office/drawing/2014/main" id="{F8826389-23E6-46E5-8E7B-52623B89F54D}"/>
            </a:ext>
          </a:extLst>
        </xdr:cNvPr>
        <xdr:cNvSpPr txBox="1"/>
      </xdr:nvSpPr>
      <xdr:spPr>
        <a:xfrm>
          <a:off x="6515100" y="2324100"/>
          <a:ext cx="17526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twoCellAnchor>
    <xdr:from>
      <xdr:col>32</xdr:col>
      <xdr:colOff>66675</xdr:colOff>
      <xdr:row>3</xdr:row>
      <xdr:rowOff>114300</xdr:rowOff>
    </xdr:from>
    <xdr:to>
      <xdr:col>41</xdr:col>
      <xdr:colOff>0</xdr:colOff>
      <xdr:row>7</xdr:row>
      <xdr:rowOff>228600</xdr:rowOff>
    </xdr:to>
    <xdr:sp macro="" textlink="">
      <xdr:nvSpPr>
        <xdr:cNvPr id="3" name="テキスト ボックス 2">
          <a:extLst>
            <a:ext uri="{FF2B5EF4-FFF2-40B4-BE49-F238E27FC236}">
              <a16:creationId xmlns:a16="http://schemas.microsoft.com/office/drawing/2014/main" id="{3D9A6A39-E7CD-408F-A7D3-6B415282ABC3}"/>
            </a:ext>
          </a:extLst>
        </xdr:cNvPr>
        <xdr:cNvSpPr txBox="1"/>
      </xdr:nvSpPr>
      <xdr:spPr>
        <a:xfrm>
          <a:off x="6534150" y="628650"/>
          <a:ext cx="173355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書類作成は行えますが、確認済証の窓口での処理が必要となるため、電子では行えません。</a:t>
          </a:r>
          <a:endParaRPr kumimoji="1" lang="en-US" altLang="ja-JP" sz="1100"/>
        </a:p>
      </xdr:txBody>
    </xdr:sp>
    <xdr:clientData/>
  </xdr:twoCellAnchor>
  <xdr:twoCellAnchor>
    <xdr:from>
      <xdr:col>32</xdr:col>
      <xdr:colOff>85724</xdr:colOff>
      <xdr:row>36</xdr:row>
      <xdr:rowOff>19050</xdr:rowOff>
    </xdr:from>
    <xdr:to>
      <xdr:col>40</xdr:col>
      <xdr:colOff>85725</xdr:colOff>
      <xdr:row>38</xdr:row>
      <xdr:rowOff>85725</xdr:rowOff>
    </xdr:to>
    <xdr:sp macro="" textlink="">
      <xdr:nvSpPr>
        <xdr:cNvPr id="4" name="テキスト ボックス 3">
          <a:extLst>
            <a:ext uri="{FF2B5EF4-FFF2-40B4-BE49-F238E27FC236}">
              <a16:creationId xmlns:a16="http://schemas.microsoft.com/office/drawing/2014/main" id="{C3267571-464D-449D-8B05-F34B6D8F613F}"/>
            </a:ext>
          </a:extLst>
        </xdr:cNvPr>
        <xdr:cNvSpPr txBox="1"/>
      </xdr:nvSpPr>
      <xdr:spPr>
        <a:xfrm>
          <a:off x="6553199" y="6191250"/>
          <a:ext cx="1600201"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電子申請の場合は副本は不要です。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20.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CC"/>
  </sheetPr>
  <dimension ref="A1:N36"/>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 defaultRowHeight="14.25" customHeight="1"/>
  <cols>
    <col min="1" max="1" width="28.25" style="19" customWidth="1"/>
    <col min="2" max="2" width="23.375" style="19" customWidth="1"/>
    <col min="3" max="3" width="16.75" style="19" customWidth="1"/>
    <col min="4" max="5" width="3.625" style="17" customWidth="1"/>
    <col min="6" max="10" width="10.625" style="17" customWidth="1"/>
    <col min="11" max="14" width="13.625" style="17" customWidth="1"/>
    <col min="15" max="15" width="9" style="17" customWidth="1"/>
    <col min="16" max="16384" width="9" style="17"/>
  </cols>
  <sheetData>
    <row r="1" spans="1:14" ht="63.75" customHeight="1">
      <c r="A1" s="18" t="s">
        <v>0</v>
      </c>
      <c r="B1" s="18" t="s">
        <v>1</v>
      </c>
      <c r="C1" s="18" t="s">
        <v>2</v>
      </c>
      <c r="D1" s="687" t="s">
        <v>3</v>
      </c>
      <c r="E1" s="687"/>
      <c r="F1" s="217" t="s">
        <v>4</v>
      </c>
      <c r="G1" s="17" t="s">
        <v>5</v>
      </c>
      <c r="H1" s="17" t="s">
        <v>6</v>
      </c>
      <c r="I1" s="17" t="s">
        <v>7</v>
      </c>
      <c r="J1" s="17" t="s">
        <v>8</v>
      </c>
      <c r="K1" s="17" t="s">
        <v>9</v>
      </c>
      <c r="L1" s="17" t="s">
        <v>10</v>
      </c>
      <c r="M1" s="17" t="s">
        <v>11</v>
      </c>
      <c r="N1" s="17" t="s">
        <v>12</v>
      </c>
    </row>
    <row r="2" spans="1:14" ht="11.25">
      <c r="G2" s="217">
        <f t="shared" ref="G2:N2" si="0">IF(cst__output_sheetname=G1, 1, 0)</f>
        <v>0</v>
      </c>
      <c r="H2" s="217">
        <f>IF(cst__output_sheetname=H1, 1, 0)</f>
        <v>0</v>
      </c>
      <c r="I2" s="217">
        <f t="shared" si="0"/>
        <v>0</v>
      </c>
      <c r="J2" s="217">
        <f t="shared" si="0"/>
        <v>0</v>
      </c>
      <c r="K2" s="217">
        <f t="shared" si="0"/>
        <v>0</v>
      </c>
      <c r="L2" s="217">
        <f t="shared" si="0"/>
        <v>0</v>
      </c>
      <c r="M2" s="217">
        <f t="shared" si="0"/>
        <v>0</v>
      </c>
      <c r="N2" s="217">
        <f t="shared" si="0"/>
        <v>1</v>
      </c>
    </row>
    <row r="4" spans="1:14" ht="11.25">
      <c r="A4" s="19" t="s">
        <v>13</v>
      </c>
      <c r="B4" s="19">
        <v>-2</v>
      </c>
      <c r="C4" s="19">
        <v>-2</v>
      </c>
    </row>
    <row r="5" spans="1:14" ht="11.25">
      <c r="A5" s="19" t="s">
        <v>14</v>
      </c>
      <c r="B5" s="19">
        <v>-2</v>
      </c>
      <c r="C5" s="19">
        <v>-2</v>
      </c>
    </row>
    <row r="6" spans="1:14" ht="11.25">
      <c r="A6" s="19" t="s">
        <v>15</v>
      </c>
      <c r="B6" s="19">
        <v>-2</v>
      </c>
      <c r="C6" s="19">
        <v>-2</v>
      </c>
    </row>
    <row r="7" spans="1:14" ht="11.25">
      <c r="A7" s="19" t="s">
        <v>16</v>
      </c>
      <c r="B7" s="19">
        <v>-2</v>
      </c>
      <c r="C7" s="19">
        <v>-2</v>
      </c>
    </row>
    <row r="8" spans="1:14" ht="11.25">
      <c r="A8" s="19" t="s">
        <v>17</v>
      </c>
      <c r="B8" s="19">
        <v>-2</v>
      </c>
      <c r="C8" s="19">
        <v>-2</v>
      </c>
    </row>
    <row r="10" spans="1:14" ht="11.25">
      <c r="B10" s="19">
        <f>D10</f>
        <v>-2</v>
      </c>
      <c r="D10" s="17">
        <f>IF(F10&lt;&gt;"",IF(F10=1,IF(F10+E10=2,1,-2),F10),IF(E10=0,-2,E10))</f>
        <v>-2</v>
      </c>
      <c r="E10" s="17">
        <f t="shared" ref="E10:E32" si="1">IF(cst__output_sheetname="", 1, 0)+IF(AND(G10=1,G$2=1), 1, 0)+IF(AND(H10=1,H$2=1), 1, 0)+IF(AND(I10=1,I$2=1), 1, 0)+IF(AND(J10=1,J$2=1), 1, 0)+IF(AND(K10=1,K$2=1), 1, 0)+IF(AND(L10=1,L$2=1), 1, 0)+IF(AND(M10=1,M$2=1), 1, 0)+IF(AND(N10=1,N$2=1), 1, 0)</f>
        <v>0</v>
      </c>
    </row>
    <row r="11" spans="1:14" ht="11.25">
      <c r="A11" s="19" t="s">
        <v>18</v>
      </c>
      <c r="B11" s="19">
        <f t="shared" ref="B11:B12" si="2">D11</f>
        <v>-2</v>
      </c>
      <c r="D11" s="17">
        <f t="shared" ref="D11:D32" si="3">IF(F11&lt;&gt;"",IF(F11=1,IF(F11+E11=2,1,-2),F11),IF(E11=0,-2,E11))</f>
        <v>-2</v>
      </c>
      <c r="E11" s="17">
        <f t="shared" si="1"/>
        <v>0</v>
      </c>
      <c r="F11" s="218">
        <v>-2</v>
      </c>
    </row>
    <row r="12" spans="1:14" ht="11.25">
      <c r="A12" s="19" t="s">
        <v>19</v>
      </c>
      <c r="B12" s="19">
        <f t="shared" si="2"/>
        <v>-2</v>
      </c>
      <c r="D12" s="17">
        <f t="shared" si="3"/>
        <v>-2</v>
      </c>
      <c r="E12" s="17">
        <f t="shared" si="1"/>
        <v>0</v>
      </c>
      <c r="F12" s="218">
        <v>-2</v>
      </c>
    </row>
    <row r="13" spans="1:14" ht="11.25">
      <c r="B13" s="19">
        <f>D13</f>
        <v>-2</v>
      </c>
      <c r="D13" s="17">
        <f t="shared" si="3"/>
        <v>-2</v>
      </c>
      <c r="E13" s="17">
        <f t="shared" si="1"/>
        <v>0</v>
      </c>
    </row>
    <row r="14" spans="1:14" ht="11.25">
      <c r="A14" s="19" t="s">
        <v>5</v>
      </c>
      <c r="B14" s="19">
        <f t="shared" ref="B14:B26" si="4">D14</f>
        <v>-2</v>
      </c>
      <c r="D14" s="17">
        <f t="shared" si="3"/>
        <v>-2</v>
      </c>
      <c r="E14" s="17">
        <f t="shared" si="1"/>
        <v>0</v>
      </c>
      <c r="G14" s="17">
        <v>1</v>
      </c>
    </row>
    <row r="15" spans="1:14" ht="11.25">
      <c r="A15" s="19" t="s">
        <v>20</v>
      </c>
      <c r="B15" s="19">
        <f t="shared" si="4"/>
        <v>-2</v>
      </c>
      <c r="D15" s="17">
        <f t="shared" si="3"/>
        <v>-2</v>
      </c>
      <c r="E15" s="17">
        <f t="shared" si="1"/>
        <v>0</v>
      </c>
      <c r="H15" s="17">
        <v>1</v>
      </c>
    </row>
    <row r="16" spans="1:14" ht="11.25">
      <c r="A16" s="19" t="s">
        <v>7</v>
      </c>
      <c r="B16" s="19">
        <f t="shared" si="4"/>
        <v>-2</v>
      </c>
      <c r="D16" s="17">
        <f t="shared" si="3"/>
        <v>-2</v>
      </c>
      <c r="E16" s="17">
        <f t="shared" si="1"/>
        <v>0</v>
      </c>
      <c r="I16" s="17">
        <v>1</v>
      </c>
    </row>
    <row r="17" spans="1:14" ht="11.25">
      <c r="A17" s="19" t="s">
        <v>21</v>
      </c>
      <c r="B17" s="19">
        <f t="shared" ref="B17:B20" si="5">D17</f>
        <v>-2</v>
      </c>
      <c r="D17" s="17">
        <f t="shared" si="3"/>
        <v>-2</v>
      </c>
      <c r="E17" s="17">
        <f t="shared" si="1"/>
        <v>0</v>
      </c>
      <c r="L17" s="17">
        <v>1</v>
      </c>
    </row>
    <row r="18" spans="1:14" ht="11.25">
      <c r="A18" s="19" t="s">
        <v>22</v>
      </c>
      <c r="B18" s="19">
        <f t="shared" si="5"/>
        <v>-2</v>
      </c>
      <c r="D18" s="17">
        <f t="shared" si="3"/>
        <v>-2</v>
      </c>
      <c r="E18" s="17">
        <f t="shared" si="1"/>
        <v>0</v>
      </c>
      <c r="M18" s="17">
        <v>1</v>
      </c>
    </row>
    <row r="19" spans="1:14" ht="11.25">
      <c r="A19" s="19" t="s">
        <v>23</v>
      </c>
      <c r="B19" s="19">
        <f t="shared" si="5"/>
        <v>1</v>
      </c>
      <c r="D19" s="17">
        <f t="shared" si="3"/>
        <v>1</v>
      </c>
      <c r="E19" s="17">
        <f t="shared" si="1"/>
        <v>1</v>
      </c>
      <c r="N19" s="17">
        <v>1</v>
      </c>
    </row>
    <row r="20" spans="1:14" ht="11.25">
      <c r="A20" s="19" t="s">
        <v>24</v>
      </c>
      <c r="B20" s="19">
        <f t="shared" si="5"/>
        <v>1</v>
      </c>
      <c r="D20" s="17">
        <f t="shared" si="3"/>
        <v>1</v>
      </c>
      <c r="E20" s="17">
        <f t="shared" si="1"/>
        <v>1</v>
      </c>
      <c r="L20" s="17">
        <v>1</v>
      </c>
      <c r="M20" s="17">
        <v>1</v>
      </c>
      <c r="N20" s="17">
        <v>1</v>
      </c>
    </row>
    <row r="21" spans="1:14" ht="11.25">
      <c r="A21" s="19" t="s">
        <v>25</v>
      </c>
      <c r="B21" s="19">
        <f t="shared" si="4"/>
        <v>-2</v>
      </c>
      <c r="D21" s="17">
        <f t="shared" si="3"/>
        <v>-2</v>
      </c>
      <c r="E21" s="17">
        <f t="shared" si="1"/>
        <v>0</v>
      </c>
      <c r="K21" s="17">
        <v>1</v>
      </c>
    </row>
    <row r="22" spans="1:14" ht="11.25">
      <c r="A22" s="19" t="s">
        <v>26</v>
      </c>
      <c r="B22" s="19">
        <f t="shared" ref="B22:B24" si="6">D22</f>
        <v>-2</v>
      </c>
      <c r="D22" s="17">
        <f t="shared" si="3"/>
        <v>-2</v>
      </c>
      <c r="E22" s="17">
        <f t="shared" si="1"/>
        <v>0</v>
      </c>
      <c r="J22" s="17">
        <v>1</v>
      </c>
    </row>
    <row r="23" spans="1:14" ht="11.25">
      <c r="A23" s="19" t="s">
        <v>27</v>
      </c>
      <c r="B23" s="19">
        <f t="shared" si="6"/>
        <v>-2</v>
      </c>
      <c r="D23" s="17">
        <f t="shared" si="3"/>
        <v>-2</v>
      </c>
      <c r="E23" s="17">
        <f t="shared" si="1"/>
        <v>0</v>
      </c>
      <c r="J23" s="17">
        <v>1</v>
      </c>
    </row>
    <row r="24" spans="1:14" ht="11.25">
      <c r="A24" s="19" t="s">
        <v>28</v>
      </c>
      <c r="B24" s="19">
        <f t="shared" si="6"/>
        <v>-2</v>
      </c>
      <c r="D24" s="17">
        <f t="shared" si="3"/>
        <v>-2</v>
      </c>
      <c r="E24" s="17">
        <f t="shared" si="1"/>
        <v>0</v>
      </c>
      <c r="J24" s="17">
        <v>1</v>
      </c>
    </row>
    <row r="25" spans="1:14" ht="11.25">
      <c r="A25" s="19" t="s">
        <v>29</v>
      </c>
      <c r="B25" s="19">
        <f t="shared" si="4"/>
        <v>-2</v>
      </c>
      <c r="D25" s="17">
        <f t="shared" si="3"/>
        <v>-2</v>
      </c>
      <c r="E25" s="17">
        <f t="shared" si="1"/>
        <v>0</v>
      </c>
      <c r="J25" s="17">
        <v>1</v>
      </c>
    </row>
    <row r="26" spans="1:14" ht="11.25">
      <c r="A26" s="19" t="s">
        <v>30</v>
      </c>
      <c r="B26" s="19">
        <f t="shared" si="4"/>
        <v>-2</v>
      </c>
      <c r="D26" s="17">
        <f t="shared" si="3"/>
        <v>-2</v>
      </c>
      <c r="E26" s="17">
        <f t="shared" si="1"/>
        <v>0</v>
      </c>
      <c r="J26" s="17">
        <v>1</v>
      </c>
    </row>
    <row r="27" spans="1:14" ht="11.25">
      <c r="A27" s="19" t="s">
        <v>31</v>
      </c>
      <c r="B27" s="19">
        <f t="shared" ref="B27:B28" si="7">D27</f>
        <v>-2</v>
      </c>
      <c r="D27" s="17">
        <f t="shared" si="3"/>
        <v>-2</v>
      </c>
      <c r="E27" s="17">
        <f t="shared" si="1"/>
        <v>0</v>
      </c>
      <c r="J27" s="17">
        <v>1</v>
      </c>
    </row>
    <row r="28" spans="1:14" ht="11.25">
      <c r="A28" s="19" t="s">
        <v>32</v>
      </c>
      <c r="B28" s="19">
        <f t="shared" si="7"/>
        <v>-2</v>
      </c>
      <c r="D28" s="17">
        <f t="shared" si="3"/>
        <v>-2</v>
      </c>
      <c r="E28" s="17">
        <f t="shared" si="1"/>
        <v>0</v>
      </c>
      <c r="J28" s="17">
        <v>1</v>
      </c>
    </row>
    <row r="29" spans="1:14" ht="11.25">
      <c r="D29" s="17">
        <f t="shared" si="3"/>
        <v>-2</v>
      </c>
      <c r="E29" s="17">
        <f t="shared" si="1"/>
        <v>0</v>
      </c>
    </row>
    <row r="30" spans="1:14" ht="11.25">
      <c r="D30" s="17">
        <f t="shared" si="3"/>
        <v>-2</v>
      </c>
      <c r="E30" s="17">
        <f t="shared" si="1"/>
        <v>0</v>
      </c>
    </row>
    <row r="31" spans="1:14" ht="11.25">
      <c r="A31" s="19" t="s">
        <v>33</v>
      </c>
      <c r="B31" s="19">
        <v>-2</v>
      </c>
      <c r="D31" s="17">
        <f t="shared" si="3"/>
        <v>-2</v>
      </c>
      <c r="E31" s="17">
        <f t="shared" si="1"/>
        <v>0</v>
      </c>
      <c r="F31" s="218">
        <v>-2</v>
      </c>
    </row>
    <row r="32" spans="1:14" ht="11.25">
      <c r="A32" s="19" t="s">
        <v>34</v>
      </c>
      <c r="B32" s="19">
        <f>D32</f>
        <v>-2</v>
      </c>
      <c r="D32" s="17">
        <f t="shared" si="3"/>
        <v>-2</v>
      </c>
      <c r="E32" s="17">
        <f t="shared" si="1"/>
        <v>0</v>
      </c>
      <c r="F32" s="217">
        <v>1</v>
      </c>
      <c r="G32" s="17">
        <v>1</v>
      </c>
      <c r="I32" s="17">
        <v>1</v>
      </c>
      <c r="J32" s="17">
        <v>1</v>
      </c>
    </row>
    <row r="33" spans="1:2" ht="11.25">
      <c r="A33" s="68" t="s">
        <v>35</v>
      </c>
      <c r="B33" s="19">
        <v>0</v>
      </c>
    </row>
    <row r="35" spans="1:2" ht="11.25">
      <c r="A35" s="20" t="s">
        <v>36</v>
      </c>
    </row>
    <row r="36" spans="1:2" ht="11.25">
      <c r="A36" s="20" t="s">
        <v>37</v>
      </c>
    </row>
  </sheetData>
  <customSheetViews>
    <customSheetView guid="{E028D9C5-4CBB-430B-B1F8-80DD1ABDFA29}">
      <pane xSplit="1" ySplit="2" topLeftCell="B12" activePane="bottomRight" state="frozen"/>
      <selection pane="bottomRight" activeCell="E18" sqref="E18"/>
      <pageMargins left="0.78700000000000003" right="0.78700000000000003" top="0.98399999999999999" bottom="0.98399999999999999" header="0.51200000000000001" footer="0.51200000000000001"/>
      <pageSetup paperSize="9" orientation="portrait"/>
      <headerFooter alignWithMargins="0"/>
    </customSheetView>
    <customSheetView guid="{D83ABAE7-1F4C-4C77-8E04-C5172671ED17}">
      <pane xSplit="1" ySplit="2" topLeftCell="B12" activePane="bottomRight" state="frozen"/>
      <selection pane="bottomRight" activeCell="E18" sqref="E18"/>
      <pageMargins left="0.78700000000000003" right="0.78700000000000003" top="0.98399999999999999" bottom="0.98399999999999999" header="0.51200000000000001" footer="0.51200000000000001"/>
      <pageSetup paperSize="9" orientation="portrait" r:id="rId1"/>
      <headerFooter alignWithMargins="0"/>
    </customSheetView>
    <customSheetView guid="{2DA24103-744A-47E0-AFFB-F94A0E194D57}">
      <pane xSplit="1" ySplit="2" topLeftCell="B3" activePane="bottomRight" state="frozen"/>
      <selection pane="bottomRight" activeCell="B7" sqref="B7"/>
      <pageMargins left="0.78700000000000003" right="0.78700000000000003" top="0.98399999999999999" bottom="0.98399999999999999" header="0.51200000000000001" footer="0.51200000000000001"/>
      <pageSetup paperSize="9" orientation="portrait" r:id="rId2"/>
      <headerFooter alignWithMargins="0"/>
    </customSheetView>
  </customSheetViews>
  <mergeCells count="1">
    <mergeCell ref="D1:E1"/>
  </mergeCells>
  <phoneticPr fontId="7"/>
  <pageMargins left="0.78700000000000003" right="0.78700000000000003" top="0.98399999999999999" bottom="0.98399999999999999" header="0.51200000000000001" footer="0.51200000000000001"/>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CCFFCC"/>
  </sheetPr>
  <dimension ref="C1:G12"/>
  <sheetViews>
    <sheetView workbookViewId="0">
      <selection activeCell="E12" sqref="E12"/>
    </sheetView>
  </sheetViews>
  <sheetFormatPr defaultColWidth="9" defaultRowHeight="18.75" customHeight="1"/>
  <cols>
    <col min="1" max="3" width="2.75" style="21" customWidth="1"/>
    <col min="4" max="4" width="4.125" style="21" customWidth="1"/>
    <col min="5" max="5" width="23.5" style="221" customWidth="1"/>
    <col min="6" max="6" width="9" style="21" customWidth="1"/>
    <col min="7" max="7" width="50.625" style="21" customWidth="1"/>
    <col min="8" max="8" width="9" style="21" customWidth="1"/>
    <col min="9" max="16384" width="9" style="21"/>
  </cols>
  <sheetData>
    <row r="1" spans="3:7">
      <c r="E1" s="221" t="s">
        <v>38</v>
      </c>
      <c r="G1" s="122" t="s">
        <v>39</v>
      </c>
    </row>
    <row r="3" spans="3:7">
      <c r="C3" s="688" t="s">
        <v>40</v>
      </c>
      <c r="D3" s="688"/>
      <c r="E3" s="688"/>
      <c r="F3" s="688"/>
      <c r="G3" s="688"/>
    </row>
    <row r="4" spans="3:7">
      <c r="E4" s="221">
        <v>45056</v>
      </c>
      <c r="F4" s="21" t="s">
        <v>41</v>
      </c>
      <c r="G4" s="21" t="s">
        <v>42</v>
      </c>
    </row>
    <row r="5" spans="3:7">
      <c r="G5" s="21" t="s">
        <v>43</v>
      </c>
    </row>
    <row r="6" spans="3:7">
      <c r="E6" s="221">
        <v>45224</v>
      </c>
      <c r="F6" s="21" t="s">
        <v>41</v>
      </c>
      <c r="G6" s="21" t="s">
        <v>44</v>
      </c>
    </row>
    <row r="7" spans="3:7">
      <c r="E7" s="221">
        <v>45226</v>
      </c>
      <c r="F7" s="21" t="s">
        <v>45</v>
      </c>
      <c r="G7" s="21" t="s">
        <v>46</v>
      </c>
    </row>
    <row r="8" spans="3:7">
      <c r="E8" s="221">
        <v>45362</v>
      </c>
      <c r="F8" s="21" t="s">
        <v>47</v>
      </c>
      <c r="G8" s="21" t="s">
        <v>48</v>
      </c>
    </row>
    <row r="9" spans="3:7">
      <c r="E9" s="221">
        <v>45386</v>
      </c>
      <c r="F9" s="21" t="s">
        <v>49</v>
      </c>
      <c r="G9" s="21" t="s">
        <v>50</v>
      </c>
    </row>
    <row r="10" spans="3:7">
      <c r="E10" s="221">
        <v>45392</v>
      </c>
      <c r="F10" s="21" t="s">
        <v>49</v>
      </c>
      <c r="G10" s="21" t="s">
        <v>51</v>
      </c>
    </row>
    <row r="11" spans="3:7">
      <c r="E11" s="221">
        <v>45393</v>
      </c>
      <c r="F11" s="21" t="s">
        <v>49</v>
      </c>
      <c r="G11" s="21" t="s">
        <v>52</v>
      </c>
    </row>
    <row r="12" spans="3:7">
      <c r="E12" s="221">
        <v>45394</v>
      </c>
      <c r="F12" s="21" t="s">
        <v>49</v>
      </c>
      <c r="G12" s="21" t="s">
        <v>53</v>
      </c>
    </row>
  </sheetData>
  <customSheetViews>
    <customSheetView guid="{E028D9C5-4CBB-430B-B1F8-80DD1ABDFA29}">
      <selection activeCell="F11" sqref="F11"/>
      <pageMargins left="0.7" right="0.7" top="0.75" bottom="0.75" header="0.3" footer="0.3"/>
    </customSheetView>
    <customSheetView guid="{D83ABAE7-1F4C-4C77-8E04-C5172671ED17}">
      <selection activeCell="F11" sqref="F11"/>
      <pageMargins left="0.7" right="0.7" top="0.75" bottom="0.75" header="0.3" footer="0.3"/>
    </customSheetView>
    <customSheetView guid="{2DA24103-744A-47E0-AFFB-F94A0E194D57}">
      <selection activeCell="G19" sqref="G19"/>
      <pageMargins left="0.7" right="0.7" top="0.75" bottom="0.75" header="0.3" footer="0.3"/>
    </customSheetView>
  </customSheetViews>
  <mergeCells count="1">
    <mergeCell ref="C3:G3"/>
  </mergeCells>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CFFCC"/>
  </sheetPr>
  <dimension ref="A6:V1333"/>
  <sheetViews>
    <sheetView zoomScale="90" zoomScaleNormal="100" workbookViewId="0">
      <pane xSplit="2" ySplit="6" topLeftCell="C28" activePane="bottomRight" state="frozen"/>
      <selection pane="topRight" activeCell="C1" sqref="C1"/>
      <selection pane="bottomLeft" activeCell="A7" sqref="A7"/>
      <selection pane="bottomRight" activeCell="B32" sqref="B32"/>
    </sheetView>
  </sheetViews>
  <sheetFormatPr defaultColWidth="9" defaultRowHeight="15" customHeight="1"/>
  <cols>
    <col min="1" max="1" width="15.625" style="21" customWidth="1"/>
    <col min="2" max="2" width="31.375" style="21" customWidth="1"/>
    <col min="3" max="3" width="37.875" style="21" customWidth="1"/>
    <col min="4" max="4" width="15.625" style="21" customWidth="1"/>
    <col min="5" max="5" width="42.25" style="21" customWidth="1"/>
    <col min="6" max="6" width="27.625" style="21" customWidth="1"/>
    <col min="7" max="7" width="35.625" style="21" customWidth="1"/>
    <col min="8" max="8" width="9" style="21" customWidth="1"/>
    <col min="9" max="16384" width="9" style="21"/>
  </cols>
  <sheetData>
    <row r="6" spans="1:8" ht="12">
      <c r="A6" s="21" t="s">
        <v>54</v>
      </c>
      <c r="C6" s="21" t="s">
        <v>55</v>
      </c>
      <c r="D6" s="21" t="s">
        <v>56</v>
      </c>
      <c r="E6" s="21" t="s">
        <v>57</v>
      </c>
      <c r="F6" s="21" t="s">
        <v>58</v>
      </c>
      <c r="G6" s="122" t="s">
        <v>2</v>
      </c>
    </row>
    <row r="7" spans="1:8" ht="12">
      <c r="A7" s="8" t="s">
        <v>59</v>
      </c>
      <c r="B7" s="31"/>
      <c r="C7" s="21" t="s">
        <v>60</v>
      </c>
      <c r="D7" s="162"/>
      <c r="E7" s="21" t="s">
        <v>61</v>
      </c>
      <c r="F7" s="162" t="str">
        <f>IF(_output_title="","",_output_title)</f>
        <v/>
      </c>
    </row>
    <row r="8" spans="1:8" ht="12">
      <c r="A8" s="15"/>
      <c r="B8" s="121"/>
      <c r="D8" s="162"/>
      <c r="F8" s="162"/>
    </row>
    <row r="9" spans="1:8" ht="12">
      <c r="A9" s="8" t="s">
        <v>62</v>
      </c>
      <c r="B9" s="31"/>
      <c r="C9" s="21" t="s">
        <v>63</v>
      </c>
      <c r="D9" s="162" t="s">
        <v>12</v>
      </c>
      <c r="E9" s="21" t="s">
        <v>64</v>
      </c>
      <c r="F9" s="162" t="str">
        <f>IF(_output_sheetname="","",_output_sheetname)</f>
        <v>追加説明書（完了）</v>
      </c>
    </row>
    <row r="10" spans="1:8" ht="12">
      <c r="A10" s="15"/>
      <c r="B10" s="121"/>
      <c r="D10" s="162"/>
      <c r="F10" s="162"/>
    </row>
    <row r="11" spans="1:8" ht="12">
      <c r="A11" s="49" t="s">
        <v>65</v>
      </c>
      <c r="B11" s="50"/>
      <c r="C11" s="21" t="s">
        <v>66</v>
      </c>
      <c r="D11" s="162" t="s">
        <v>67</v>
      </c>
      <c r="E11" s="21" t="s">
        <v>68</v>
      </c>
      <c r="F11" s="162" t="str">
        <f>IF(wsjob_TARGET_KIND__label="","",wsjob_TARGET_KIND__label)</f>
        <v>建築物</v>
      </c>
      <c r="G11" s="22"/>
      <c r="H11" s="22"/>
    </row>
    <row r="12" spans="1:8" ht="62.1" customHeight="1">
      <c r="A12" s="86"/>
      <c r="B12" s="80" t="s">
        <v>69</v>
      </c>
      <c r="C12" s="21" t="s">
        <v>70</v>
      </c>
      <c r="D12" s="162">
        <v>100</v>
      </c>
      <c r="E12" s="21" t="s">
        <v>71</v>
      </c>
      <c r="F12" s="162" t="str">
        <f ca="1">IF(wsjob_JOB_SET_KIND="","",IF(ISERROR(MATCH(wsjob_JOB_SET_KIND,cls_JOB_SET_KIND_erea,0)),"未設定コード",OFFSET(cls_JOB_SET_KIND_base_point,MATCH(wsjob_JOB_SET_KIND,cls_JOB_SET_KIND_erea,0),0)))</f>
        <v>基準法</v>
      </c>
      <c r="G12" s="60" t="s">
        <v>72</v>
      </c>
      <c r="H12" s="22"/>
    </row>
    <row r="13" spans="1:8" ht="62.1" customHeight="1">
      <c r="A13" s="86"/>
      <c r="B13" s="80" t="s">
        <v>73</v>
      </c>
      <c r="C13" s="21" t="s">
        <v>74</v>
      </c>
      <c r="D13" s="162">
        <v>1</v>
      </c>
      <c r="E13" s="21" t="s">
        <v>75</v>
      </c>
      <c r="F13" s="162" t="str">
        <f ca="1">IF(wsjob_TARGET_KIND="","",IF(ISERROR(MATCH(wsjob_TARGET_KIND,cls_TARGET_KIND_erea,0)),"未設定コード",OFFSET(cls_TARGET_KIND_base_point,MATCH(wsjob_TARGET_KIND,cls_TARGET_KIND_erea,0),0)))</f>
        <v>建築物</v>
      </c>
      <c r="G13" s="60" t="s">
        <v>76</v>
      </c>
      <c r="H13" s="22"/>
    </row>
    <row r="14" spans="1:8" ht="16.5" customHeight="1">
      <c r="A14" s="86"/>
      <c r="B14" s="80" t="s">
        <v>67</v>
      </c>
      <c r="D14" s="22"/>
      <c r="E14" s="21" t="s">
        <v>77</v>
      </c>
      <c r="F14" s="162" t="str">
        <f>IF(wsjob_TARGET_KIND=1,"■","□")</f>
        <v>■</v>
      </c>
      <c r="G14" s="60"/>
      <c r="H14" s="22"/>
    </row>
    <row r="15" spans="1:8" ht="16.5" customHeight="1">
      <c r="A15" s="86"/>
      <c r="B15" s="80" t="s">
        <v>78</v>
      </c>
      <c r="D15" s="22"/>
      <c r="E15" s="21" t="s">
        <v>79</v>
      </c>
      <c r="F15" s="162" t="str">
        <f>IF(wsjob_TARGET_KIND=2,"■","□")</f>
        <v>□</v>
      </c>
      <c r="G15" s="60"/>
      <c r="H15" s="22"/>
    </row>
    <row r="16" spans="1:8" ht="16.5" customHeight="1">
      <c r="A16" s="86"/>
      <c r="B16" s="80" t="s">
        <v>80</v>
      </c>
      <c r="D16" s="22"/>
      <c r="E16" s="21" t="s">
        <v>81</v>
      </c>
      <c r="F16" s="162" t="str">
        <f>IF(wsjob_TARGET_KIND=3,"■","□")</f>
        <v>□</v>
      </c>
      <c r="G16" s="60"/>
      <c r="H16" s="22"/>
    </row>
    <row r="17" spans="1:8" ht="16.5" customHeight="1">
      <c r="A17" s="86"/>
      <c r="B17" s="80" t="s">
        <v>82</v>
      </c>
      <c r="D17" s="22"/>
      <c r="E17" s="21" t="s">
        <v>83</v>
      </c>
      <c r="F17" s="162" t="str">
        <f>IF(wsjob_TARGET_KIND=4,"■","□")</f>
        <v>□</v>
      </c>
      <c r="G17" s="60"/>
      <c r="H17" s="22"/>
    </row>
    <row r="18" spans="1:8" ht="16.5" customHeight="1">
      <c r="A18" s="86"/>
      <c r="B18" s="80" t="s">
        <v>84</v>
      </c>
      <c r="D18" s="22"/>
      <c r="E18" s="21" t="s">
        <v>85</v>
      </c>
      <c r="F18" s="162" t="str">
        <f>IF(wsjob_TARGET_KIND=5,"■","□")</f>
        <v>□</v>
      </c>
      <c r="G18" s="60"/>
      <c r="H18" s="22"/>
    </row>
    <row r="19" spans="1:8" ht="62.1" customHeight="1">
      <c r="A19" s="86"/>
      <c r="B19" s="80" t="s">
        <v>86</v>
      </c>
      <c r="C19" s="21" t="s">
        <v>87</v>
      </c>
      <c r="D19" s="162">
        <v>103</v>
      </c>
      <c r="E19" s="21" t="s">
        <v>88</v>
      </c>
      <c r="F19" s="162" t="str">
        <f ca="1">IF(wsjob_JOB_KIND="","",IF(ISERROR(MATCH(wsjob_JOB_KIND,cls_JOB_KIND_erea,0)),"未設定コード",OFFSET(cls_JOB_KIND_base_point,MATCH(wsjob_JOB_KIND,cls_JOB_KIND_erea,0),0)))</f>
        <v>中間検査</v>
      </c>
      <c r="G19" s="60" t="s">
        <v>89</v>
      </c>
      <c r="H19" s="22"/>
    </row>
    <row r="20" spans="1:8" ht="16.5" customHeight="1">
      <c r="A20" s="236"/>
      <c r="B20" s="158"/>
      <c r="D20" s="22"/>
      <c r="E20" s="21" t="s">
        <v>90</v>
      </c>
      <c r="F20" s="162" t="str">
        <f>IF(OR(wsjob_JOB_KIND=101,wsjob_JOB_KIND=102),"■","□")</f>
        <v>□</v>
      </c>
      <c r="G20" s="60"/>
      <c r="H20" s="22"/>
    </row>
    <row r="21" spans="1:8" ht="16.5" customHeight="1">
      <c r="A21" s="236"/>
      <c r="B21" s="158"/>
      <c r="D21" s="22"/>
      <c r="E21" s="21" t="s">
        <v>91</v>
      </c>
      <c r="F21" s="162" t="str">
        <f>IF(wsjob_JOB_KIND=103,"■","□")</f>
        <v>■</v>
      </c>
      <c r="G21" s="60"/>
      <c r="H21" s="22"/>
    </row>
    <row r="22" spans="1:8" ht="16.5" customHeight="1">
      <c r="A22" s="236"/>
      <c r="B22" s="158"/>
      <c r="D22" s="22"/>
      <c r="E22" s="21" t="s">
        <v>92</v>
      </c>
      <c r="F22" s="162" t="str">
        <f>IF(wsjob_JOB_KIND=104,"■","□")</f>
        <v>□</v>
      </c>
      <c r="G22" s="60"/>
      <c r="H22" s="22"/>
    </row>
    <row r="23" spans="1:8" ht="12">
      <c r="A23" s="87"/>
      <c r="B23" s="88"/>
      <c r="F23" s="22"/>
      <c r="G23" s="22"/>
      <c r="H23" s="22"/>
    </row>
    <row r="24" spans="1:8" ht="12">
      <c r="A24" s="139"/>
      <c r="B24" s="140"/>
      <c r="D24" s="22"/>
      <c r="F24" s="22"/>
      <c r="G24" s="22"/>
      <c r="H24" s="22"/>
    </row>
    <row r="25" spans="1:8" ht="12">
      <c r="A25" s="165" t="s">
        <v>93</v>
      </c>
      <c r="B25" s="166"/>
    </row>
    <row r="26" spans="1:8" ht="12">
      <c r="A26" s="167"/>
      <c r="B26" s="169" t="s">
        <v>94</v>
      </c>
      <c r="E26" s="21" t="s">
        <v>95</v>
      </c>
      <c r="F26" s="47">
        <f ca="1">IF(wsjob_JOB_KIND="","",IF(ISERROR(MATCH(wsjob_JOB_KIND,cls_JOB_KIND_erea,0)),"",OFFSET(cls_JOB_KIND_base_point,MATCH(wsjob_JOB_KIND,cls_JOB_KIND_erea,0),1)))</f>
        <v>3</v>
      </c>
      <c r="G26" s="21" t="s">
        <v>96</v>
      </c>
    </row>
    <row r="27" spans="1:8" ht="12">
      <c r="A27" s="167"/>
      <c r="B27" s="169" t="s">
        <v>97</v>
      </c>
      <c r="E27" s="21" t="s">
        <v>98</v>
      </c>
      <c r="F27" s="47" t="str">
        <f ca="1">IF(AND(chk_JOB_KIND_kakunin=1,wskakunin_koutei01_KOUTEI_TEXT&lt;&gt;""),1,"")</f>
        <v/>
      </c>
    </row>
    <row r="28" spans="1:8" ht="12">
      <c r="A28" s="167"/>
      <c r="B28" s="169" t="s">
        <v>99</v>
      </c>
      <c r="E28" s="21" t="s">
        <v>100</v>
      </c>
      <c r="F28" s="47" t="str">
        <f ca="1">IF(AND(chk_JOB_KIND_kakunin=1,wskakunin_koutei02_KOUTEI_TEXT&lt;&gt;""),1,"")</f>
        <v/>
      </c>
    </row>
    <row r="29" spans="1:8" ht="12">
      <c r="A29" s="167"/>
      <c r="B29" s="169" t="s">
        <v>101</v>
      </c>
      <c r="E29" s="21" t="s">
        <v>102</v>
      </c>
      <c r="F29" s="47" t="str">
        <f ca="1">IF(AND(chk_JOB_KIND_kakunin=1,wskakunin_koutei03_KOUTEI_TEXT&lt;&gt;""),1,"")</f>
        <v/>
      </c>
    </row>
    <row r="30" spans="1:8" ht="12">
      <c r="A30" s="167"/>
      <c r="B30" s="202" t="s">
        <v>103</v>
      </c>
      <c r="E30" s="21" t="s">
        <v>104</v>
      </c>
      <c r="F30" s="47">
        <f ca="1">IF(chk_JOB_KIND_kakunin=3,IF(wskakunin_koutei_izen01_KOUTEI_TEXT="",30,IF(wskakunin_koutei_izen02_KOUTEI_TEXT&lt;&gt;"",32,31)),IF(chk_JOB_KIND_kakunin=1,10,IF(chk_JOB_KIND_kakunin=4,40,"")))</f>
        <v>30</v>
      </c>
      <c r="G30" s="21" t="s">
        <v>105</v>
      </c>
    </row>
    <row r="31" spans="1:8" ht="12">
      <c r="A31" s="167"/>
      <c r="B31" s="202" t="s">
        <v>106</v>
      </c>
      <c r="E31" s="21" t="s">
        <v>107</v>
      </c>
      <c r="F31" s="47" t="str">
        <f ca="1">IF(chk_JOB_KIND_kakunin=1,cst_shinsei_ISSUE_NO,cst_wskakunin_LAST_ISSUE_NO)</f>
        <v>R05確認建築IPEC70003</v>
      </c>
      <c r="G31" s="21" t="s">
        <v>108</v>
      </c>
    </row>
    <row r="32" spans="1:8" ht="12">
      <c r="A32" s="168"/>
      <c r="B32" s="170"/>
      <c r="E32" s="21" t="s">
        <v>109</v>
      </c>
      <c r="F32" s="47">
        <f ca="1">IF(chk_JOB_KIND_kakunin=1,cst_shinsei_ISSUE_DATE,cst_wskakunin_LAST_ISSUE_DATE)</f>
        <v>45363</v>
      </c>
    </row>
    <row r="33" spans="1:8" ht="12">
      <c r="A33" s="37"/>
    </row>
    <row r="34" spans="1:8" ht="12">
      <c r="A34" s="240" t="s">
        <v>110</v>
      </c>
      <c r="B34" s="241"/>
      <c r="C34" s="21" t="s">
        <v>111</v>
      </c>
      <c r="D34" s="275" t="s">
        <v>112</v>
      </c>
      <c r="E34" s="21" t="s">
        <v>113</v>
      </c>
      <c r="F34" s="275" t="str">
        <f>IF(shinsei_PROVO_DATE="","",shinsei_PROVO_DATE)</f>
        <v/>
      </c>
    </row>
    <row r="35" spans="1:8" ht="12">
      <c r="A35" s="240" t="s">
        <v>114</v>
      </c>
      <c r="B35" s="241"/>
      <c r="C35" s="21" t="s">
        <v>115</v>
      </c>
      <c r="D35" s="257" t="s">
        <v>112</v>
      </c>
      <c r="E35" s="21" t="s">
        <v>116</v>
      </c>
      <c r="F35" s="162" t="str">
        <f>IF(shinsei_PROVO_NO="","",shinsei_PROVO_NO)</f>
        <v/>
      </c>
    </row>
    <row r="36" spans="1:8" ht="12">
      <c r="A36" s="37"/>
    </row>
    <row r="37" spans="1:8" ht="12">
      <c r="A37" s="171" t="s">
        <v>117</v>
      </c>
      <c r="B37" s="172"/>
      <c r="D37" s="22"/>
      <c r="F37" s="22"/>
      <c r="G37" s="22"/>
      <c r="H37" s="22"/>
    </row>
    <row r="38" spans="1:8" ht="12">
      <c r="A38" s="173" t="s">
        <v>118</v>
      </c>
      <c r="B38" s="174"/>
      <c r="C38" s="21" t="s">
        <v>119</v>
      </c>
      <c r="D38" s="275" t="s">
        <v>112</v>
      </c>
      <c r="E38" s="21" t="s">
        <v>120</v>
      </c>
      <c r="F38" s="162" t="str">
        <f>IF(shinsei_ACCEPT_DATE="","",shinsei_ACCEPT_DATE)</f>
        <v/>
      </c>
      <c r="G38" s="22"/>
      <c r="H38" s="22"/>
    </row>
    <row r="39" spans="1:8" ht="12">
      <c r="A39" s="175"/>
      <c r="B39" s="176"/>
      <c r="D39" s="22"/>
      <c r="F39" s="22"/>
      <c r="G39" s="22"/>
      <c r="H39" s="22"/>
    </row>
    <row r="40" spans="1:8" ht="12">
      <c r="A40" s="173" t="s">
        <v>121</v>
      </c>
      <c r="B40" s="174"/>
      <c r="C40" s="21" t="s">
        <v>122</v>
      </c>
      <c r="D40" s="255" t="s">
        <v>112</v>
      </c>
      <c r="E40" s="21" t="s">
        <v>123</v>
      </c>
      <c r="F40" s="162" t="str">
        <f>IF(shinsei_UKETUKE_NO="","",shinsei_UKETUKE_NO)</f>
        <v/>
      </c>
      <c r="G40" s="22"/>
      <c r="H40" s="22"/>
    </row>
    <row r="41" spans="1:8" ht="12">
      <c r="A41" s="175"/>
      <c r="B41" s="176"/>
      <c r="D41" s="37"/>
      <c r="F41" s="22"/>
      <c r="G41" s="22"/>
      <c r="H41" s="22"/>
    </row>
    <row r="42" spans="1:8" ht="12">
      <c r="A42" s="177" t="s">
        <v>124</v>
      </c>
      <c r="B42" s="178"/>
      <c r="C42" s="21" t="s">
        <v>125</v>
      </c>
      <c r="D42" s="275" t="s">
        <v>112</v>
      </c>
      <c r="E42" s="21" t="s">
        <v>126</v>
      </c>
      <c r="F42" s="275" t="str">
        <f>IF(shinsei_HIKIUKE_DATE="","",shinsei_HIKIUKE_DATE)</f>
        <v/>
      </c>
      <c r="G42" s="22"/>
      <c r="H42" s="22"/>
    </row>
    <row r="43" spans="1:8" ht="12">
      <c r="A43" s="179"/>
      <c r="B43" s="180"/>
      <c r="D43" s="103"/>
      <c r="F43" s="22"/>
      <c r="G43" s="22"/>
      <c r="H43" s="22"/>
    </row>
    <row r="44" spans="1:8" ht="12">
      <c r="A44" s="181" t="s">
        <v>106</v>
      </c>
      <c r="B44" s="182"/>
      <c r="C44" s="21" t="s">
        <v>127</v>
      </c>
      <c r="D44" s="255" t="s">
        <v>112</v>
      </c>
      <c r="E44" s="21" t="s">
        <v>128</v>
      </c>
      <c r="F44" s="162" t="str">
        <f>IF(shinsei_ISSUE_NO="","",shinsei_ISSUE_NO)</f>
        <v/>
      </c>
      <c r="G44" s="22"/>
      <c r="H44" s="22"/>
    </row>
    <row r="45" spans="1:8" ht="12">
      <c r="A45" s="245"/>
      <c r="B45" s="182"/>
      <c r="D45" s="37"/>
      <c r="E45" s="21" t="s">
        <v>129</v>
      </c>
      <c r="F45" s="162" t="str">
        <f>IF(shinsei_ISSUE_NO="","","第"&amp;shinsei_ISSUE_NO&amp;"号")</f>
        <v/>
      </c>
      <c r="G45" s="22"/>
      <c r="H45" s="22"/>
    </row>
    <row r="46" spans="1:8" ht="12">
      <c r="A46" s="252" t="s">
        <v>106</v>
      </c>
      <c r="B46" s="253"/>
      <c r="C46" s="21" t="s">
        <v>130</v>
      </c>
      <c r="D46" s="257" t="s">
        <v>131</v>
      </c>
      <c r="E46" s="21" t="s">
        <v>132</v>
      </c>
      <c r="F46" s="162" t="str">
        <f>IF(shinsei_KAKU_SUMI_NO="","",shinsei_KAKU_SUMI_NO)</f>
        <v>R05確認建築IPEC70003</v>
      </c>
      <c r="G46" s="22"/>
      <c r="H46" s="22"/>
    </row>
    <row r="47" spans="1:8" ht="12">
      <c r="A47" s="177" t="s">
        <v>133</v>
      </c>
      <c r="B47" s="178"/>
      <c r="G47" s="22"/>
      <c r="H47" s="22"/>
    </row>
    <row r="48" spans="1:8" ht="12">
      <c r="A48" s="183"/>
      <c r="B48" s="184" t="s">
        <v>134</v>
      </c>
      <c r="C48" s="21" t="s">
        <v>135</v>
      </c>
      <c r="D48" s="275" t="s">
        <v>112</v>
      </c>
      <c r="E48" s="21" t="s">
        <v>136</v>
      </c>
      <c r="F48" s="275" t="str">
        <f>IF(shinsei_ISSUE_DATE="","",shinsei_ISSUE_DATE)</f>
        <v/>
      </c>
      <c r="G48" s="22"/>
      <c r="H48" s="22"/>
    </row>
    <row r="49" spans="1:8" ht="12">
      <c r="A49" s="185"/>
      <c r="B49" s="186"/>
      <c r="D49" s="103"/>
      <c r="G49" s="22"/>
      <c r="H49" s="22"/>
    </row>
    <row r="50" spans="1:8" ht="12">
      <c r="A50" s="181" t="s">
        <v>137</v>
      </c>
      <c r="B50" s="182"/>
      <c r="C50" s="22" t="s">
        <v>138</v>
      </c>
      <c r="D50" s="162" t="s">
        <v>112</v>
      </c>
      <c r="E50" s="21" t="s">
        <v>139</v>
      </c>
      <c r="F50" s="47" t="str">
        <f>IF(shinsei_ISSUE_KOUFU_NAME="","",shinsei_ISSUE_KOUFU_NAME)</f>
        <v/>
      </c>
    </row>
    <row r="51" spans="1:8" ht="12">
      <c r="A51" s="181"/>
      <c r="B51" s="182"/>
      <c r="D51" s="103"/>
      <c r="G51" s="22"/>
      <c r="H51" s="22"/>
    </row>
    <row r="52" spans="1:8" ht="12">
      <c r="A52" s="231" t="s">
        <v>140</v>
      </c>
      <c r="B52" s="232"/>
      <c r="D52" s="22"/>
      <c r="F52" s="22"/>
      <c r="G52" s="22"/>
      <c r="H52" s="22"/>
    </row>
    <row r="53" spans="1:8" ht="12">
      <c r="A53" s="233"/>
      <c r="B53" s="234" t="s">
        <v>141</v>
      </c>
      <c r="C53" s="21" t="s">
        <v>142</v>
      </c>
      <c r="D53" s="22" t="s">
        <v>112</v>
      </c>
      <c r="E53" s="21" t="s">
        <v>143</v>
      </c>
      <c r="F53" s="22" t="str">
        <f>IF(shinsei_build_p6_01_PAGE6_KOUZOU_KEISAN_KIND__005=1,"■","□")</f>
        <v>□</v>
      </c>
      <c r="G53" s="22"/>
      <c r="H53" s="22"/>
    </row>
    <row r="54" spans="1:8" ht="12">
      <c r="A54" s="233"/>
      <c r="B54" s="234" t="s">
        <v>144</v>
      </c>
      <c r="C54" s="21" t="s">
        <v>145</v>
      </c>
      <c r="D54" s="22" t="s">
        <v>112</v>
      </c>
      <c r="E54" s="21" t="s">
        <v>146</v>
      </c>
      <c r="F54" s="22" t="str">
        <f>IF(shinsei_build_p6_01_PAGE6_KOUZOU_KEISAN_KIND__004=1,"■","□")</f>
        <v>□</v>
      </c>
      <c r="G54" s="22"/>
      <c r="H54" s="22"/>
    </row>
    <row r="55" spans="1:8" ht="12">
      <c r="A55" s="233"/>
      <c r="B55" s="234" t="s">
        <v>147</v>
      </c>
      <c r="C55" s="21" t="s">
        <v>148</v>
      </c>
      <c r="D55" s="22" t="s">
        <v>112</v>
      </c>
      <c r="E55" s="21" t="s">
        <v>149</v>
      </c>
      <c r="F55" s="22" t="str">
        <f>IF(shinsei_build_p6_01_PAGE6_KOUZOU_KEISAN_KIND__002=1,"■","□")</f>
        <v>□</v>
      </c>
      <c r="G55" s="22"/>
      <c r="H55" s="22"/>
    </row>
    <row r="56" spans="1:8" ht="12">
      <c r="A56" s="139" t="s">
        <v>150</v>
      </c>
      <c r="B56" s="140"/>
      <c r="C56" s="21" t="s">
        <v>151</v>
      </c>
      <c r="D56" s="162" t="s">
        <v>152</v>
      </c>
      <c r="E56" s="21" t="s">
        <v>153</v>
      </c>
      <c r="F56" s="162" t="str">
        <f>IF(wskakunin_KIKAN_NAME="","",wskakunin_KIKAN_NAME)</f>
        <v>株式会社I-PEC</v>
      </c>
      <c r="G56" s="22"/>
      <c r="H56" s="22"/>
    </row>
    <row r="57" spans="1:8" ht="12">
      <c r="A57" s="9" t="s">
        <v>154</v>
      </c>
      <c r="B57" s="143"/>
      <c r="G57" s="22"/>
      <c r="H57" s="22"/>
    </row>
    <row r="58" spans="1:8" ht="12">
      <c r="A58" s="16"/>
      <c r="B58" s="144" t="s">
        <v>154</v>
      </c>
      <c r="C58" s="21" t="s">
        <v>155</v>
      </c>
      <c r="D58" s="279">
        <v>45391</v>
      </c>
      <c r="E58" s="21" t="s">
        <v>156</v>
      </c>
      <c r="F58" s="279">
        <f>IF(wskakunin_SHINSEI_DATE="","",wskakunin_SHINSEI_DATE)</f>
        <v>45391</v>
      </c>
      <c r="H58" s="22"/>
    </row>
    <row r="59" spans="1:8" ht="12">
      <c r="A59" s="49" t="s">
        <v>157</v>
      </c>
      <c r="B59" s="52"/>
      <c r="G59" s="22"/>
      <c r="H59" s="22"/>
    </row>
    <row r="60" spans="1:8" ht="12">
      <c r="A60" s="86"/>
      <c r="B60" s="142" t="s">
        <v>106</v>
      </c>
      <c r="C60" s="21" t="s">
        <v>158</v>
      </c>
      <c r="D60" s="257" t="s">
        <v>131</v>
      </c>
      <c r="E60" s="21" t="s">
        <v>159</v>
      </c>
      <c r="F60" s="162" t="str">
        <f>IF(wskakunin_LAST_ISSUE_NO="","",wskakunin_LAST_ISSUE_NO)</f>
        <v>R05確認建築IPEC70003</v>
      </c>
      <c r="G60" s="22"/>
      <c r="H60" s="22"/>
    </row>
    <row r="61" spans="1:8" ht="12">
      <c r="A61" s="86"/>
      <c r="B61" s="142" t="s">
        <v>133</v>
      </c>
      <c r="C61" s="21" t="s">
        <v>160</v>
      </c>
      <c r="D61" s="275">
        <v>45363</v>
      </c>
      <c r="E61" s="21" t="s">
        <v>161</v>
      </c>
      <c r="F61" s="275">
        <f>IF(wskakunin_LAST_ISSUE_DATE="","",wskakunin_LAST_ISSUE_DATE)</f>
        <v>45363</v>
      </c>
      <c r="G61" s="22"/>
      <c r="H61" s="22"/>
    </row>
    <row r="62" spans="1:8" ht="12">
      <c r="A62" s="86"/>
      <c r="B62" s="248" t="s">
        <v>137</v>
      </c>
      <c r="C62" s="21" t="s">
        <v>162</v>
      </c>
      <c r="D62" s="257" t="s">
        <v>152</v>
      </c>
      <c r="E62" s="21" t="s">
        <v>163</v>
      </c>
      <c r="F62" s="162" t="str">
        <f>IF(wskakunin_LAST_ISSUE_NAME="","",wskakunin_LAST_ISSUE_NAME)</f>
        <v>株式会社I-PEC</v>
      </c>
      <c r="G62" s="22"/>
      <c r="H62" s="22"/>
    </row>
    <row r="63" spans="1:8" ht="12">
      <c r="A63" s="86"/>
      <c r="B63" s="142" t="s">
        <v>164</v>
      </c>
      <c r="C63" s="21" t="s">
        <v>165</v>
      </c>
      <c r="D63" s="257" t="s">
        <v>112</v>
      </c>
      <c r="E63" s="21" t="s">
        <v>166</v>
      </c>
      <c r="F63" s="162" t="str">
        <f>IF(wskakunin_P1_HENKOU_GAIYOU="","",wskakunin_P1_HENKOU_GAIYOU)</f>
        <v/>
      </c>
      <c r="G63" s="22"/>
      <c r="H63" s="22"/>
    </row>
    <row r="64" spans="1:8" ht="12">
      <c r="A64" s="141"/>
      <c r="B64" s="145"/>
      <c r="G64" s="22"/>
      <c r="H64" s="22"/>
    </row>
    <row r="65" spans="1:8" ht="12">
      <c r="A65" s="245" t="s">
        <v>167</v>
      </c>
      <c r="B65" s="182"/>
      <c r="D65" s="103"/>
      <c r="E65" s="21" t="s">
        <v>168</v>
      </c>
      <c r="F65" s="258" t="str">
        <f ca="1">IF(chk_JOB_KIND_kakunin=1,cst_shinsei_ISSUE_NO,cst_wskakunin_LAST_ISSUE_NO)</f>
        <v>R05確認建築IPEC70003</v>
      </c>
      <c r="G65" s="22"/>
      <c r="H65" s="22"/>
    </row>
    <row r="66" spans="1:8" ht="12">
      <c r="A66" s="245" t="s">
        <v>169</v>
      </c>
      <c r="B66" s="182"/>
      <c r="D66" s="103"/>
      <c r="F66" s="22"/>
      <c r="G66" s="22"/>
      <c r="H66" s="22"/>
    </row>
    <row r="67" spans="1:8" ht="13.5">
      <c r="A67" s="246" t="s">
        <v>170</v>
      </c>
      <c r="B67" s="247"/>
      <c r="D67" s="238"/>
      <c r="E67" s="21" t="s">
        <v>171</v>
      </c>
      <c r="F67" s="259" t="str">
        <f ca="1">IF(OR(cst_wsjob_JOB_KIND=101,cst_wsjob_JOB_KIND=102),cst_shinsei_ISSUE_KOUFU_NAME,cst_wskakunin_LAST_ISSUE_NAME)</f>
        <v>株式会社I-PEC</v>
      </c>
      <c r="G67" s="22"/>
      <c r="H67" s="22"/>
    </row>
    <row r="68" spans="1:8" ht="13.5">
      <c r="A68" s="249" t="s">
        <v>172</v>
      </c>
      <c r="B68" s="250"/>
      <c r="D68" s="238"/>
      <c r="E68" s="21" t="s">
        <v>173</v>
      </c>
      <c r="F68" s="260">
        <f ca="1">IF(chk_JOB_KIND_kakunin=1,cst_shinsei_ISSUE_DATE,cst_wskakunin_LAST_ISSUE_DATE)</f>
        <v>45363</v>
      </c>
      <c r="G68" s="22"/>
      <c r="H68" s="22"/>
    </row>
    <row r="69" spans="1:8" ht="12">
      <c r="A69" s="236"/>
      <c r="B69" s="237"/>
      <c r="G69" s="22"/>
      <c r="H69" s="22"/>
    </row>
    <row r="70" spans="1:8" ht="12">
      <c r="A70" s="51" t="s">
        <v>164</v>
      </c>
      <c r="B70" s="52"/>
      <c r="C70" s="21" t="s">
        <v>174</v>
      </c>
      <c r="D70" s="47"/>
      <c r="E70" s="21" t="s">
        <v>175</v>
      </c>
      <c r="F70" s="47" t="str">
        <f>IF(wskakunin_PAGE1_ALTERATION_NOTE="","",wskakunin_PAGE1_ALTERATION_NOTE)</f>
        <v/>
      </c>
    </row>
    <row r="71" spans="1:8" ht="12">
      <c r="A71" s="54"/>
      <c r="B71" s="66"/>
    </row>
    <row r="72" spans="1:8" ht="12">
      <c r="A72" s="55" t="s">
        <v>176</v>
      </c>
      <c r="B72" s="119"/>
      <c r="G72" s="22"/>
      <c r="H72" s="22"/>
    </row>
    <row r="73" spans="1:8" ht="12">
      <c r="A73" s="115"/>
      <c r="B73" s="79" t="s">
        <v>177</v>
      </c>
      <c r="C73" s="21" t="s">
        <v>178</v>
      </c>
      <c r="D73" s="261" t="s">
        <v>179</v>
      </c>
      <c r="E73" s="21" t="s">
        <v>180</v>
      </c>
      <c r="F73" s="261" t="str">
        <f>IF(wskakunin_APPLICANT_NAME="","",wskakunin_APPLICANT_NAME)</f>
        <v>猫山　花子</v>
      </c>
      <c r="G73" s="22"/>
      <c r="H73" s="22"/>
    </row>
    <row r="74" spans="1:8" ht="12">
      <c r="A74" s="120"/>
      <c r="B74" s="117"/>
      <c r="G74" s="22"/>
      <c r="H74" s="22"/>
    </row>
    <row r="75" spans="1:8" ht="12">
      <c r="A75" s="49" t="s">
        <v>181</v>
      </c>
      <c r="B75" s="52"/>
      <c r="G75" s="22"/>
      <c r="H75" s="22"/>
    </row>
    <row r="76" spans="1:8" ht="12">
      <c r="A76" s="86"/>
      <c r="B76" s="80" t="s">
        <v>182</v>
      </c>
      <c r="C76" s="21" t="s">
        <v>183</v>
      </c>
      <c r="D76" s="162" t="s">
        <v>112</v>
      </c>
      <c r="E76" s="21" t="s">
        <v>184</v>
      </c>
      <c r="F76" s="162" t="str">
        <f>IF(wskakunin_owner1_JIMU_NAME="", "", wskakunin_owner1_JIMU_NAME)</f>
        <v/>
      </c>
      <c r="G76" s="22"/>
      <c r="H76" s="22"/>
    </row>
    <row r="77" spans="1:8" ht="12">
      <c r="A77" s="86"/>
      <c r="B77" s="80" t="s">
        <v>185</v>
      </c>
      <c r="C77" s="21" t="s">
        <v>186</v>
      </c>
      <c r="D77" s="162" t="s">
        <v>112</v>
      </c>
      <c r="E77" s="21" t="s">
        <v>187</v>
      </c>
      <c r="F77" s="162" t="str">
        <f>IF(wskakunin_owner1_JIMU_NAME_KANA="","",wskakunin_owner1_JIMU_NAME_KANA)</f>
        <v/>
      </c>
      <c r="G77" s="22"/>
      <c r="H77" s="22"/>
    </row>
    <row r="78" spans="1:8" ht="12">
      <c r="A78" s="86"/>
      <c r="B78" s="80" t="s">
        <v>188</v>
      </c>
      <c r="C78" s="21" t="s">
        <v>189</v>
      </c>
      <c r="D78" s="162" t="s">
        <v>112</v>
      </c>
      <c r="E78" s="21" t="s">
        <v>190</v>
      </c>
      <c r="F78" s="162" t="str">
        <f>IF(wskakunin_owner1_POST="", "", wskakunin_owner1_POST)</f>
        <v/>
      </c>
      <c r="G78" s="22"/>
      <c r="H78" s="22"/>
    </row>
    <row r="79" spans="1:8" ht="12">
      <c r="A79" s="86"/>
      <c r="B79" s="80" t="s">
        <v>191</v>
      </c>
      <c r="C79" s="21" t="s">
        <v>192</v>
      </c>
      <c r="D79" s="162" t="s">
        <v>112</v>
      </c>
      <c r="E79" s="21" t="s">
        <v>193</v>
      </c>
      <c r="F79" s="162" t="str">
        <f>IF(wskakunin_owner1_POST_KANA="","",wskakunin_owner1_POST_KANA)</f>
        <v/>
      </c>
      <c r="G79" s="22"/>
      <c r="H79" s="22"/>
    </row>
    <row r="80" spans="1:8" ht="12">
      <c r="A80" s="86"/>
      <c r="B80" s="80" t="s">
        <v>194</v>
      </c>
      <c r="C80" s="21" t="s">
        <v>195</v>
      </c>
      <c r="D80" s="162" t="s">
        <v>179</v>
      </c>
      <c r="E80" s="21" t="s">
        <v>196</v>
      </c>
      <c r="F80" s="162" t="str">
        <f>IF(wskakunin_owner1_NAME="", "", wskakunin_owner1_NAME)</f>
        <v>猫山　花子</v>
      </c>
      <c r="G80" s="22"/>
      <c r="H80" s="22"/>
    </row>
    <row r="81" spans="1:8" ht="12">
      <c r="A81" s="53"/>
      <c r="B81" s="80" t="s">
        <v>197</v>
      </c>
      <c r="C81" s="21" t="s">
        <v>198</v>
      </c>
      <c r="D81" s="162" t="s">
        <v>199</v>
      </c>
      <c r="E81" s="21" t="s">
        <v>200</v>
      </c>
      <c r="F81" s="162" t="str">
        <f>IF(wskakunin_owner1_NAME_KANA="","",wskakunin_owner1_NAME_KANA)</f>
        <v>ネコヤマ　ハナコ</v>
      </c>
      <c r="G81" s="22"/>
      <c r="H81" s="22"/>
    </row>
    <row r="82" spans="1:8" ht="12">
      <c r="A82" s="53"/>
      <c r="B82" s="118" t="s">
        <v>201</v>
      </c>
      <c r="D82" s="22"/>
      <c r="E82" s="21" t="s">
        <v>202</v>
      </c>
      <c r="F82" s="162" t="str">
        <f>IF(wskakunin_owner1_JIMU_NAME_KANA="",cst_wskakunin_owner1_NAME_KANA,IF(wskakunin_owner1_POST_KANA="",cst_wskakunin_owner1_NAME_KANA,cst_wskakunin_owner1_JIMU_NAME_KANA&amp;"　"&amp;cst_wskakunin_owner1_POST_KANA&amp;"　"&amp;cst_wskakunin_owner1_NAME_KANA))</f>
        <v>ネコヤマ　ハナコ</v>
      </c>
      <c r="G82" s="22"/>
      <c r="H82" s="22"/>
    </row>
    <row r="83" spans="1:8" ht="12">
      <c r="A83" s="242"/>
      <c r="B83" s="118" t="s">
        <v>203</v>
      </c>
      <c r="D83" s="22"/>
      <c r="E83" s="21" t="s">
        <v>204</v>
      </c>
      <c r="F83" s="162" t="str">
        <f>IF(AND(cst_wskakunin_owner1_JIMU_NAME_KANA="",cst_wskakunin_owner1_POST_KANA=""),cst_wskakunin_owner1_NAME_KANA,IF(cst_wskakunin_owner1_JIMU_NAME_KANA="",cst_wskakunin_owner1_POST_KANA&amp;"　"&amp;cst_wskakunin_owner1_NAME_KANA,IF(cst_wskakunin_owner1_POST_KANA="",cst_wskakunin_owner1_JIMU_NAME_KANA&amp;"　"&amp;cst_wskakunin_owner1_NAME_KANA,cst_wskakunin_owner1_JIMU_NAME_KANA&amp;"　"&amp;cst_wskakunin_owner1_POST_KANA&amp;"　"&amp;cst_wskakunin_owner1_NAME_KANA)))</f>
        <v>ネコヤマ　ハナコ</v>
      </c>
      <c r="G83" s="22"/>
      <c r="H83" s="22"/>
    </row>
    <row r="84" spans="1:8" ht="12">
      <c r="A84" s="53"/>
      <c r="B84" s="80" t="s">
        <v>205</v>
      </c>
      <c r="C84" s="21" t="s">
        <v>206</v>
      </c>
      <c r="D84" s="255" t="s">
        <v>207</v>
      </c>
      <c r="E84" s="21" t="s">
        <v>208</v>
      </c>
      <c r="F84" s="162" t="str">
        <f>IF(wskakunin_owner1_ZIP="", "", wskakunin_owner1_ZIP)</f>
        <v>567-0009</v>
      </c>
      <c r="G84" s="22"/>
      <c r="H84" s="22"/>
    </row>
    <row r="85" spans="1:8" ht="12">
      <c r="A85" s="242"/>
      <c r="B85" s="80"/>
      <c r="E85" s="21" t="s">
        <v>209</v>
      </c>
      <c r="F85" s="162" t="str">
        <f>IF(wskakunin_owner1_ZIP="","",LEFT(wskakunin_owner1_ZIP,3)&amp;RIGHT(wskakunin_owner1_ZIP,4))</f>
        <v>5670009</v>
      </c>
      <c r="G85" s="22"/>
      <c r="H85" s="22"/>
    </row>
    <row r="86" spans="1:8" ht="12">
      <c r="A86" s="53"/>
      <c r="B86" s="80" t="s">
        <v>210</v>
      </c>
      <c r="C86" s="21" t="s">
        <v>211</v>
      </c>
      <c r="D86" s="162" t="s">
        <v>212</v>
      </c>
      <c r="E86" s="21" t="s">
        <v>213</v>
      </c>
      <c r="F86" s="162" t="str">
        <f>IF(wskakunin_owner1__address="", "", wskakunin_owner1__address)</f>
        <v>大阪府茨木市山手台2-2-2</v>
      </c>
      <c r="G86" s="22"/>
      <c r="H86" s="22"/>
    </row>
    <row r="87" spans="1:8" ht="12">
      <c r="A87" s="53"/>
      <c r="B87" s="80" t="s">
        <v>214</v>
      </c>
      <c r="C87" s="21" t="s">
        <v>215</v>
      </c>
      <c r="D87" s="255" t="s">
        <v>216</v>
      </c>
      <c r="E87" s="21" t="s">
        <v>217</v>
      </c>
      <c r="F87" s="162" t="str">
        <f>IF(wskakunin_owner1_TEL="", "", wskakunin_owner1_TEL)</f>
        <v>なし</v>
      </c>
      <c r="G87" s="22"/>
      <c r="H87" s="22"/>
    </row>
    <row r="88" spans="1:8" ht="12">
      <c r="A88" s="242"/>
      <c r="B88" s="300"/>
      <c r="E88" s="21" t="s">
        <v>218</v>
      </c>
      <c r="F88" s="162" t="e">
        <f>IF(wskakunin_owner1_TEL="","（　　　　）　　　-","（"&amp;LEFT(cst_wskakunin_owner1_TEL,FIND("-",cst_wskakunin_owner1_TEL)-1)&amp;"）　"&amp;MID(cst_wskakunin_owner1_TEL,FIND("-",cst_wskakunin_owner1_TEL)+1,FIND("-",cst_wskakunin_owner1_TEL,FIND("-",cst_wskakunin_owner1_TEL)+1)-FIND("-",cst_wskakunin_owner1_TEL)-1)&amp;"-"&amp;RIGHT(cst_wskakunin_owner1_TEL,LEN(cst_wskakunin_owner1_TEL)-FIND("-",cst_wskakunin_owner1_TEL,FIND("-",cst_wskakunin_owner1_TEL)+1)))</f>
        <v>#VALUE!</v>
      </c>
      <c r="G88" s="22"/>
      <c r="H88" s="22"/>
    </row>
    <row r="89" spans="1:8" ht="12">
      <c r="A89" s="53"/>
      <c r="B89" s="77" t="s">
        <v>219</v>
      </c>
      <c r="D89" s="22"/>
      <c r="E89" s="21" t="s">
        <v>220</v>
      </c>
      <c r="F89" s="262" t="str">
        <f>IF(wskakunin_owner1_JIMU_NAME="",cst_wskakunin_owner1_NAME,IF(wskakunin_owner1_POST="",cst_wskakunin_owner1_NAME,cst_wskakunin_owner1_JIMU_NAME&amp;"　"&amp;cst_wskakunin_owner1_POST&amp;"　"&amp;cst_wskakunin_owner1_NAME))</f>
        <v>猫山　花子</v>
      </c>
      <c r="G89" s="60"/>
      <c r="H89" s="60"/>
    </row>
    <row r="90" spans="1:8" ht="12">
      <c r="A90" s="53"/>
      <c r="B90" s="77" t="s">
        <v>221</v>
      </c>
      <c r="D90" s="22"/>
      <c r="E90" s="21" t="s">
        <v>222</v>
      </c>
      <c r="F90" s="162" t="str">
        <f>IF(wskakunin_owner1_POST&amp;wskakunin_owner1_NAME="","",IF(wskakunin_owner1_POST="",wskakunin_owner1_NAME,wskakunin_owner1_POST&amp;"　"&amp;wskakunin_owner1_NAME))</f>
        <v>猫山　花子</v>
      </c>
      <c r="G90" s="22"/>
      <c r="H90" s="22"/>
    </row>
    <row r="91" spans="1:8" ht="30" customHeight="1">
      <c r="A91" s="53"/>
      <c r="B91" s="80" t="s">
        <v>223</v>
      </c>
      <c r="D91" s="22"/>
      <c r="E91" s="21" t="s">
        <v>224</v>
      </c>
      <c r="F91" s="262" t="str">
        <f>wskakunin_owner1_JIMU_NAME&amp;IF(wskakunin_owner1_JIMU_NAME="","",CHAR(10))&amp;cst_wskakunin_owner1__space2</f>
        <v>猫山　花子</v>
      </c>
      <c r="G91" s="60"/>
      <c r="H91" s="60"/>
    </row>
    <row r="92" spans="1:8" ht="30" customHeight="1">
      <c r="A92" s="242"/>
      <c r="B92" s="158" t="s">
        <v>225</v>
      </c>
      <c r="D92" s="22"/>
      <c r="E92" s="21" t="s">
        <v>226</v>
      </c>
      <c r="F92" s="262" t="str">
        <f>IF(AND(cst_wskakunin_owner1_JIMU_NAME="",cst_wskakunin_owner1_POST=""),cst_wskakunin_owner1_NAME,IF(cst_wskakunin_owner1_JIMU_NAME="",cst_wskakunin_owner1_POST&amp;"　"&amp;cst_wskakunin_owner1_NAME,IF(cst_wskakunin_owner1_POST="",cst_wskakunin_owner1_JIMU_NAME&amp;"　"&amp;cst_wskakunin_owner1_NAME,cst_wskakunin_owner1_JIMU_NAME&amp;"　"&amp;cst_wskakunin_owner1_POST&amp;"　"&amp;cst_wskakunin_owner1_NAME)))</f>
        <v>猫山　花子</v>
      </c>
      <c r="G92" s="60"/>
      <c r="H92" s="60"/>
    </row>
    <row r="93" spans="1:8" ht="12">
      <c r="A93" s="242"/>
      <c r="B93" s="158" t="s">
        <v>227</v>
      </c>
      <c r="D93" s="22"/>
      <c r="E93" s="21" t="s">
        <v>228</v>
      </c>
      <c r="F93" s="262" t="str">
        <f>IF(cst_wskakunin_owner1_JIMU_NAME="", cst_wskakunin_owner1_NAME, cst_wskakunin_owner1_JIMU_NAME)</f>
        <v>猫山　花子</v>
      </c>
      <c r="G93" s="60"/>
      <c r="H93" s="60"/>
    </row>
    <row r="94" spans="1:8" ht="12">
      <c r="A94" s="242"/>
      <c r="B94" s="158" t="s">
        <v>229</v>
      </c>
      <c r="D94" s="22"/>
      <c r="E94" s="21" t="s">
        <v>230</v>
      </c>
      <c r="F94" s="262" t="str">
        <f>IF(cst_wskakunin_owner1_JIMU_NAME="", "", cst_wskakunin_owner1__space2)</f>
        <v/>
      </c>
      <c r="G94" s="60"/>
      <c r="H94" s="60"/>
    </row>
    <row r="95" spans="1:8" ht="12">
      <c r="A95" s="54"/>
      <c r="B95" s="88"/>
      <c r="D95" s="22"/>
      <c r="G95" s="60"/>
      <c r="H95" s="60"/>
    </row>
    <row r="96" spans="1:8" ht="12">
      <c r="A96" s="49" t="s">
        <v>231</v>
      </c>
      <c r="B96" s="52"/>
      <c r="G96" s="22"/>
      <c r="H96" s="22"/>
    </row>
    <row r="97" spans="1:8" ht="12">
      <c r="A97" s="86"/>
      <c r="B97" s="131" t="s">
        <v>182</v>
      </c>
      <c r="C97" s="21" t="s">
        <v>232</v>
      </c>
      <c r="D97" s="162" t="s">
        <v>112</v>
      </c>
      <c r="E97" s="21" t="s">
        <v>233</v>
      </c>
      <c r="F97" s="162" t="str">
        <f>IF(wskakunin_owner2_JIMU_NAME="", "", wskakunin_owner2_JIMU_NAME)</f>
        <v/>
      </c>
      <c r="H97" s="22"/>
    </row>
    <row r="98" spans="1:8" ht="12">
      <c r="A98" s="86"/>
      <c r="B98" s="131" t="s">
        <v>185</v>
      </c>
      <c r="C98" s="21" t="s">
        <v>234</v>
      </c>
      <c r="D98" s="162" t="s">
        <v>112</v>
      </c>
      <c r="E98" s="21" t="s">
        <v>235</v>
      </c>
      <c r="F98" s="162" t="str">
        <f>IF(wskakunin_owner2_JIMU_NAME_KANA="","",wskakunin_owner2_JIMU_NAME_KANA)</f>
        <v/>
      </c>
      <c r="H98" s="22"/>
    </row>
    <row r="99" spans="1:8" ht="12">
      <c r="A99" s="86"/>
      <c r="B99" s="131" t="s">
        <v>188</v>
      </c>
      <c r="C99" s="21" t="s">
        <v>236</v>
      </c>
      <c r="D99" s="162" t="s">
        <v>112</v>
      </c>
      <c r="E99" s="21" t="s">
        <v>237</v>
      </c>
      <c r="F99" s="162" t="str">
        <f>IF(wskakunin_owner2_POST="", "", wskakunin_owner2_POST)</f>
        <v/>
      </c>
      <c r="H99" s="22"/>
    </row>
    <row r="100" spans="1:8" ht="12">
      <c r="A100" s="86"/>
      <c r="B100" s="131" t="s">
        <v>191</v>
      </c>
      <c r="C100" s="21" t="s">
        <v>238</v>
      </c>
      <c r="D100" s="162" t="s">
        <v>112</v>
      </c>
      <c r="E100" s="21" t="s">
        <v>239</v>
      </c>
      <c r="F100" s="162" t="str">
        <f>IF(wskakunin_owner2_POST_KANA="","",wskakunin_owner2_POST_KANA)</f>
        <v/>
      </c>
      <c r="H100" s="22"/>
    </row>
    <row r="101" spans="1:8" ht="12">
      <c r="A101" s="86"/>
      <c r="B101" s="131" t="s">
        <v>194</v>
      </c>
      <c r="C101" s="21" t="s">
        <v>240</v>
      </c>
      <c r="D101" s="162" t="s">
        <v>112</v>
      </c>
      <c r="E101" s="21" t="s">
        <v>241</v>
      </c>
      <c r="F101" s="162" t="str">
        <f>IF(wskakunin_owner2_NAME="", "", wskakunin_owner2_NAME)</f>
        <v/>
      </c>
      <c r="H101" s="22"/>
    </row>
    <row r="102" spans="1:8" ht="12">
      <c r="A102" s="53"/>
      <c r="B102" s="131" t="s">
        <v>197</v>
      </c>
      <c r="C102" s="21" t="s">
        <v>242</v>
      </c>
      <c r="D102" s="162" t="s">
        <v>112</v>
      </c>
      <c r="E102" s="21" t="s">
        <v>243</v>
      </c>
      <c r="F102" s="162" t="str">
        <f>IF(wskakunin_owner2_NAME_KANA="","",wskakunin_owner2_NAME_KANA)</f>
        <v/>
      </c>
      <c r="H102" s="22"/>
    </row>
    <row r="103" spans="1:8" ht="12">
      <c r="A103" s="53"/>
      <c r="B103" s="131" t="s">
        <v>205</v>
      </c>
      <c r="C103" s="21" t="s">
        <v>244</v>
      </c>
      <c r="D103" s="255" t="s">
        <v>112</v>
      </c>
      <c r="E103" s="21" t="s">
        <v>245</v>
      </c>
      <c r="F103" s="162" t="str">
        <f>IF(wskakunin_owner2_ZIP="", "", wskakunin_owner2_ZIP)</f>
        <v/>
      </c>
      <c r="H103" s="22"/>
    </row>
    <row r="104" spans="1:8" ht="12">
      <c r="A104" s="53"/>
      <c r="B104" s="131" t="s">
        <v>210</v>
      </c>
      <c r="C104" s="21" t="s">
        <v>246</v>
      </c>
      <c r="D104" s="162" t="s">
        <v>112</v>
      </c>
      <c r="E104" s="21" t="s">
        <v>247</v>
      </c>
      <c r="F104" s="162" t="str">
        <f>IF(wskakunin_owner2__address="", "", wskakunin_owner2__address)</f>
        <v/>
      </c>
      <c r="H104" s="22"/>
    </row>
    <row r="105" spans="1:8" ht="12">
      <c r="A105" s="53"/>
      <c r="B105" s="131" t="s">
        <v>214</v>
      </c>
      <c r="C105" s="21" t="s">
        <v>248</v>
      </c>
      <c r="D105" s="255" t="s">
        <v>112</v>
      </c>
      <c r="E105" s="21" t="s">
        <v>249</v>
      </c>
      <c r="F105" s="162" t="str">
        <f>IF(wskakunin_owner2_TEL="", "", wskakunin_owner2_TEL)</f>
        <v/>
      </c>
      <c r="H105" s="22"/>
    </row>
    <row r="106" spans="1:8" ht="12">
      <c r="A106" s="53"/>
      <c r="B106" s="77" t="s">
        <v>219</v>
      </c>
      <c r="E106" s="21" t="s">
        <v>250</v>
      </c>
      <c r="F106" s="162" t="str">
        <f>IF(wskakunin_owner2_JIMU_NAME="",cst_wskakunin_owner2_NAME,IF(wskakunin_owner2_POST="",cst_wskakunin_owner2_NAME,cst_wskakunin_owner2_JIMU_NAME&amp;"　"&amp;cst_wskakunin_owner2_POST&amp;"　"&amp;cst_wskakunin_owner2_NAME))</f>
        <v/>
      </c>
      <c r="H106" s="22"/>
    </row>
    <row r="107" spans="1:8" ht="13.5">
      <c r="A107" s="242"/>
      <c r="B107" s="243" t="s">
        <v>221</v>
      </c>
      <c r="D107" s="235"/>
      <c r="E107" s="21" t="s">
        <v>251</v>
      </c>
      <c r="F107" s="162" t="str">
        <f>IF(wskakunin_owner2_POST&amp;wskakunin_owner2_NAME="","",IF(wskakunin_owner2_POST="",wskakunin_owner2_NAME,wskakunin_owner2_POST&amp;"　"&amp;wskakunin_owner2_NAME))</f>
        <v/>
      </c>
      <c r="H107" s="22"/>
    </row>
    <row r="108" spans="1:8" ht="24">
      <c r="A108" s="242"/>
      <c r="B108" s="244" t="s">
        <v>223</v>
      </c>
      <c r="D108" s="235"/>
      <c r="E108" s="21" t="s">
        <v>252</v>
      </c>
      <c r="F108" s="262" t="str">
        <f>wskakunin_owner2_JIMU_NAME&amp;IF(wskakunin_owner2_JIMU_NAME="","",CHAR(10))&amp;cst_wskakunin_owner2__space2</f>
        <v/>
      </c>
      <c r="H108" s="22"/>
    </row>
    <row r="109" spans="1:8" ht="12">
      <c r="A109" s="53"/>
      <c r="B109" s="161"/>
      <c r="D109" s="37"/>
      <c r="F109" s="22"/>
      <c r="H109" s="22"/>
    </row>
    <row r="110" spans="1:8" ht="12">
      <c r="A110" s="49" t="s">
        <v>253</v>
      </c>
      <c r="B110" s="52"/>
      <c r="H110" s="22"/>
    </row>
    <row r="111" spans="1:8" ht="12">
      <c r="A111" s="86"/>
      <c r="B111" s="131" t="s">
        <v>182</v>
      </c>
      <c r="C111" s="21" t="s">
        <v>254</v>
      </c>
      <c r="D111" s="162" t="s">
        <v>112</v>
      </c>
      <c r="E111" s="21" t="s">
        <v>255</v>
      </c>
      <c r="F111" s="162" t="str">
        <f>IF(wskakunin_owner3_JIMU_NAME="", "", wskakunin_owner3_JIMU_NAME)</f>
        <v/>
      </c>
      <c r="H111" s="22"/>
    </row>
    <row r="112" spans="1:8" ht="12">
      <c r="A112" s="86"/>
      <c r="B112" s="131" t="s">
        <v>185</v>
      </c>
      <c r="C112" s="21" t="s">
        <v>256</v>
      </c>
      <c r="D112" s="162" t="s">
        <v>112</v>
      </c>
      <c r="E112" s="21" t="s">
        <v>257</v>
      </c>
      <c r="F112" s="162" t="str">
        <f>IF(wskakunin_owner3_JIMU_NAME_KANA="","",wskakunin_owner3_JIMU_NAME_KANA)</f>
        <v/>
      </c>
      <c r="H112" s="22"/>
    </row>
    <row r="113" spans="1:8" ht="12">
      <c r="A113" s="86"/>
      <c r="B113" s="131" t="s">
        <v>188</v>
      </c>
      <c r="C113" s="21" t="s">
        <v>258</v>
      </c>
      <c r="D113" s="162" t="s">
        <v>112</v>
      </c>
      <c r="E113" s="21" t="s">
        <v>259</v>
      </c>
      <c r="F113" s="162" t="str">
        <f>IF(wskakunin_owner3_POST="", "", wskakunin_owner3_POST)</f>
        <v/>
      </c>
      <c r="H113" s="22"/>
    </row>
    <row r="114" spans="1:8" ht="12">
      <c r="A114" s="86"/>
      <c r="B114" s="131" t="s">
        <v>191</v>
      </c>
      <c r="C114" s="21" t="s">
        <v>260</v>
      </c>
      <c r="D114" s="162" t="s">
        <v>112</v>
      </c>
      <c r="E114" s="21" t="s">
        <v>261</v>
      </c>
      <c r="F114" s="162" t="str">
        <f>IF(wskakunin_owner3_POST_KANA="","",wskakunin_owner3_POST_KANA)</f>
        <v/>
      </c>
      <c r="H114" s="22"/>
    </row>
    <row r="115" spans="1:8" ht="12">
      <c r="A115" s="86"/>
      <c r="B115" s="131" t="s">
        <v>194</v>
      </c>
      <c r="C115" s="21" t="s">
        <v>262</v>
      </c>
      <c r="D115" s="162" t="s">
        <v>112</v>
      </c>
      <c r="E115" s="21" t="s">
        <v>263</v>
      </c>
      <c r="F115" s="162" t="str">
        <f>IF(wskakunin_owner3_NAME="", "", wskakunin_owner3_NAME)</f>
        <v/>
      </c>
      <c r="H115" s="22"/>
    </row>
    <row r="116" spans="1:8" ht="12">
      <c r="A116" s="53"/>
      <c r="B116" s="131" t="s">
        <v>197</v>
      </c>
      <c r="C116" s="21" t="s">
        <v>264</v>
      </c>
      <c r="D116" s="162" t="s">
        <v>112</v>
      </c>
      <c r="E116" s="21" t="s">
        <v>265</v>
      </c>
      <c r="F116" s="162" t="str">
        <f>IF(wskakunin_owner3_NAME_KANA="","",wskakunin_owner3_NAME_KANA)</f>
        <v/>
      </c>
      <c r="H116" s="22"/>
    </row>
    <row r="117" spans="1:8" ht="12">
      <c r="A117" s="53"/>
      <c r="B117" s="131" t="s">
        <v>205</v>
      </c>
      <c r="C117" s="21" t="s">
        <v>266</v>
      </c>
      <c r="D117" s="255" t="s">
        <v>112</v>
      </c>
      <c r="E117" s="21" t="s">
        <v>267</v>
      </c>
      <c r="F117" s="162" t="str">
        <f>IF(wskakunin_owner3_ZIP="", "", wskakunin_owner3_ZIP)</f>
        <v/>
      </c>
      <c r="H117" s="22"/>
    </row>
    <row r="118" spans="1:8" ht="12">
      <c r="A118" s="53"/>
      <c r="B118" s="131" t="s">
        <v>210</v>
      </c>
      <c r="C118" s="21" t="s">
        <v>268</v>
      </c>
      <c r="D118" s="162" t="s">
        <v>112</v>
      </c>
      <c r="E118" s="21" t="s">
        <v>269</v>
      </c>
      <c r="F118" s="162" t="str">
        <f>IF(wskakunin_owner3__address="", "", wskakunin_owner3__address)</f>
        <v/>
      </c>
      <c r="H118" s="22"/>
    </row>
    <row r="119" spans="1:8" ht="12">
      <c r="A119" s="53"/>
      <c r="B119" s="131" t="s">
        <v>214</v>
      </c>
      <c r="C119" s="21" t="s">
        <v>270</v>
      </c>
      <c r="D119" s="255" t="s">
        <v>112</v>
      </c>
      <c r="E119" s="21" t="s">
        <v>271</v>
      </c>
      <c r="F119" s="162" t="str">
        <f>IF(wskakunin_owner3_TEL="", "", wskakunin_owner3_TEL)</f>
        <v/>
      </c>
      <c r="H119" s="22"/>
    </row>
    <row r="120" spans="1:8" ht="12">
      <c r="A120" s="53"/>
      <c r="B120" s="77" t="s">
        <v>219</v>
      </c>
      <c r="E120" s="21" t="s">
        <v>272</v>
      </c>
      <c r="F120" s="162" t="str">
        <f>IF(wskakunin_owner3_JIMU_NAME="",cst_wskakunin_owner3_NAME,IF(wskakunin_owner3_POST="",cst_wskakunin_owner3_NAME,cst_wskakunin_owner3_JIMU_NAME&amp;"　"&amp;cst_wskakunin_owner3_POST&amp;"　"&amp;cst_wskakunin_owner3_NAME))</f>
        <v/>
      </c>
      <c r="H120" s="22"/>
    </row>
    <row r="121" spans="1:8" ht="12">
      <c r="A121" s="242"/>
      <c r="B121" s="298"/>
      <c r="E121" s="21" t="s">
        <v>273</v>
      </c>
      <c r="F121" s="162" t="str">
        <f>IF(wskakunin_owner3_POST&amp;wskakunin_owner3_NAME="","",IF(wskakunin_owner3_POST="",wskakunin_owner3_NAME,wskakunin_owner3_POST&amp;"　"&amp;wskakunin_owner3_NAME))</f>
        <v/>
      </c>
      <c r="H121" s="22"/>
    </row>
    <row r="122" spans="1:8" ht="12">
      <c r="A122" s="53"/>
      <c r="B122" s="161"/>
      <c r="D122" s="37"/>
      <c r="F122" s="22"/>
      <c r="H122" s="22"/>
    </row>
    <row r="123" spans="1:8" ht="12">
      <c r="A123" s="49" t="s">
        <v>274</v>
      </c>
      <c r="B123" s="52"/>
      <c r="H123" s="22"/>
    </row>
    <row r="124" spans="1:8" ht="12">
      <c r="A124" s="86"/>
      <c r="B124" s="131" t="s">
        <v>182</v>
      </c>
      <c r="C124" s="21" t="s">
        <v>275</v>
      </c>
      <c r="D124" s="162" t="s">
        <v>112</v>
      </c>
      <c r="E124" s="21" t="s">
        <v>276</v>
      </c>
      <c r="F124" s="162" t="str">
        <f>IF(wskakunin_owner4_JIMU_NAME="", "", wskakunin_owner4_JIMU_NAME)</f>
        <v/>
      </c>
      <c r="H124" s="22"/>
    </row>
    <row r="125" spans="1:8" ht="12">
      <c r="A125" s="86"/>
      <c r="B125" s="131" t="s">
        <v>185</v>
      </c>
      <c r="C125" s="21" t="s">
        <v>277</v>
      </c>
      <c r="D125" s="162" t="s">
        <v>112</v>
      </c>
      <c r="E125" s="21" t="s">
        <v>278</v>
      </c>
      <c r="F125" s="162" t="str">
        <f>IF(wskakunin_owner4_JIMU_NAME_KANA="","",wskakunin_owner4_JIMU_NAME_KANA)</f>
        <v/>
      </c>
      <c r="H125" s="22"/>
    </row>
    <row r="126" spans="1:8" ht="12">
      <c r="A126" s="86"/>
      <c r="B126" s="131" t="s">
        <v>188</v>
      </c>
      <c r="C126" s="21" t="s">
        <v>279</v>
      </c>
      <c r="D126" s="162" t="s">
        <v>112</v>
      </c>
      <c r="E126" s="21" t="s">
        <v>280</v>
      </c>
      <c r="F126" s="162" t="str">
        <f>IF(wskakunin_owner4_POST="", "", wskakunin_owner4_POST)</f>
        <v/>
      </c>
      <c r="H126" s="22"/>
    </row>
    <row r="127" spans="1:8" ht="12">
      <c r="A127" s="86"/>
      <c r="B127" s="131" t="s">
        <v>191</v>
      </c>
      <c r="C127" s="21" t="s">
        <v>281</v>
      </c>
      <c r="D127" s="162" t="s">
        <v>112</v>
      </c>
      <c r="E127" s="21" t="s">
        <v>282</v>
      </c>
      <c r="F127" s="162" t="str">
        <f>IF(wskakunin_owner4_POST_KANA="","",wskakunin_owner4_POST_KANA)</f>
        <v/>
      </c>
      <c r="H127" s="22"/>
    </row>
    <row r="128" spans="1:8" ht="12">
      <c r="A128" s="86"/>
      <c r="B128" s="131" t="s">
        <v>194</v>
      </c>
      <c r="C128" s="21" t="s">
        <v>283</v>
      </c>
      <c r="D128" s="162" t="s">
        <v>112</v>
      </c>
      <c r="E128" s="21" t="s">
        <v>284</v>
      </c>
      <c r="F128" s="162" t="str">
        <f>IF(wskakunin_owner4_NAME="", "", wskakunin_owner4_NAME)</f>
        <v/>
      </c>
      <c r="H128" s="22"/>
    </row>
    <row r="129" spans="1:8" ht="12">
      <c r="A129" s="53"/>
      <c r="B129" s="131" t="s">
        <v>197</v>
      </c>
      <c r="C129" s="21" t="s">
        <v>285</v>
      </c>
      <c r="D129" s="162" t="s">
        <v>112</v>
      </c>
      <c r="E129" s="21" t="s">
        <v>286</v>
      </c>
      <c r="F129" s="162" t="str">
        <f>IF(wskakunin_owner4_NAME_KANA="","",wskakunin_owner4_NAME_KANA)</f>
        <v/>
      </c>
      <c r="H129" s="22"/>
    </row>
    <row r="130" spans="1:8" ht="12">
      <c r="A130" s="53"/>
      <c r="B130" s="131" t="s">
        <v>205</v>
      </c>
      <c r="C130" s="21" t="s">
        <v>287</v>
      </c>
      <c r="D130" s="255" t="s">
        <v>112</v>
      </c>
      <c r="E130" s="21" t="s">
        <v>288</v>
      </c>
      <c r="F130" s="162" t="str">
        <f>IF(wskakunin_owner4_ZIP="", "", wskakunin_owner4_ZIP)</f>
        <v/>
      </c>
      <c r="H130" s="22"/>
    </row>
    <row r="131" spans="1:8" ht="12">
      <c r="A131" s="53"/>
      <c r="B131" s="131" t="s">
        <v>210</v>
      </c>
      <c r="C131" s="21" t="s">
        <v>289</v>
      </c>
      <c r="D131" s="162" t="s">
        <v>112</v>
      </c>
      <c r="E131" s="21" t="s">
        <v>290</v>
      </c>
      <c r="F131" s="162" t="str">
        <f>IF(wskakunin_owner4__address="", "", wskakunin_owner4__address)</f>
        <v/>
      </c>
      <c r="H131" s="22"/>
    </row>
    <row r="132" spans="1:8" ht="12">
      <c r="A132" s="53"/>
      <c r="B132" s="131" t="s">
        <v>214</v>
      </c>
      <c r="C132" s="21" t="s">
        <v>291</v>
      </c>
      <c r="D132" s="255" t="s">
        <v>112</v>
      </c>
      <c r="E132" s="21" t="s">
        <v>292</v>
      </c>
      <c r="F132" s="162" t="str">
        <f>IF(wskakunin_owner4_TEL="", "", wskakunin_owner4_TEL)</f>
        <v/>
      </c>
      <c r="H132" s="22"/>
    </row>
    <row r="133" spans="1:8" ht="12">
      <c r="A133" s="53"/>
      <c r="B133" s="77" t="s">
        <v>219</v>
      </c>
      <c r="D133" s="37"/>
      <c r="E133" s="21" t="s">
        <v>293</v>
      </c>
      <c r="F133" s="162" t="str">
        <f>IF(wskakunin_owner4_JIMU_NAME="",cst_wskakunin_owner4_NAME,IF(wskakunin_owner4_POST="",cst_wskakunin_owner4_NAME,cst_wskakunin_owner4_JIMU_NAME&amp;"　"&amp;cst_wskakunin_owner4_POST&amp;"　"&amp;cst_wskakunin_owner4_NAME))</f>
        <v/>
      </c>
      <c r="H133" s="22"/>
    </row>
    <row r="134" spans="1:8" ht="12">
      <c r="A134" s="53"/>
      <c r="B134" s="161"/>
      <c r="D134" s="37"/>
      <c r="F134" s="22"/>
      <c r="H134" s="22"/>
    </row>
    <row r="135" spans="1:8" ht="12">
      <c r="A135" s="49" t="s">
        <v>294</v>
      </c>
      <c r="B135" s="52"/>
      <c r="H135" s="22"/>
    </row>
    <row r="136" spans="1:8" ht="12">
      <c r="A136" s="86"/>
      <c r="B136" s="131" t="s">
        <v>182</v>
      </c>
      <c r="C136" s="21" t="s">
        <v>295</v>
      </c>
      <c r="D136" s="162" t="s">
        <v>112</v>
      </c>
      <c r="E136" s="21" t="s">
        <v>296</v>
      </c>
      <c r="F136" s="162" t="str">
        <f>IF(wskakunin_owner5_JIMU_NAME="", "", wskakunin_owner5_JIMU_NAME)</f>
        <v/>
      </c>
      <c r="H136" s="22"/>
    </row>
    <row r="137" spans="1:8" ht="12">
      <c r="A137" s="86"/>
      <c r="B137" s="131" t="s">
        <v>185</v>
      </c>
      <c r="C137" s="21" t="s">
        <v>297</v>
      </c>
      <c r="D137" s="162" t="s">
        <v>112</v>
      </c>
      <c r="E137" s="21" t="s">
        <v>298</v>
      </c>
      <c r="F137" s="162" t="str">
        <f>IF(wskakunin_owner5_JIMU_NAME_KANA="","",wskakunin_owner5_JIMU_NAME_KANA)</f>
        <v/>
      </c>
      <c r="H137" s="22"/>
    </row>
    <row r="138" spans="1:8" ht="12">
      <c r="A138" s="86"/>
      <c r="B138" s="131" t="s">
        <v>188</v>
      </c>
      <c r="C138" s="21" t="s">
        <v>299</v>
      </c>
      <c r="D138" s="162" t="s">
        <v>112</v>
      </c>
      <c r="E138" s="21" t="s">
        <v>300</v>
      </c>
      <c r="F138" s="162" t="str">
        <f>IF(wskakunin_owner5_POST="", "", wskakunin_owner5_POST)</f>
        <v/>
      </c>
      <c r="H138" s="22"/>
    </row>
    <row r="139" spans="1:8" ht="12">
      <c r="A139" s="86"/>
      <c r="B139" s="131" t="s">
        <v>191</v>
      </c>
      <c r="C139" s="21" t="s">
        <v>301</v>
      </c>
      <c r="D139" s="162" t="s">
        <v>112</v>
      </c>
      <c r="E139" s="21" t="s">
        <v>302</v>
      </c>
      <c r="F139" s="162" t="str">
        <f>IF(wskakunin_owner5_POST_KANA="","",wskakunin_owner5_POST_KANA)</f>
        <v/>
      </c>
      <c r="H139" s="22"/>
    </row>
    <row r="140" spans="1:8" ht="12">
      <c r="A140" s="86"/>
      <c r="B140" s="131" t="s">
        <v>194</v>
      </c>
      <c r="C140" s="21" t="s">
        <v>303</v>
      </c>
      <c r="D140" s="162" t="s">
        <v>112</v>
      </c>
      <c r="E140" s="21" t="s">
        <v>304</v>
      </c>
      <c r="F140" s="162" t="str">
        <f>IF(wskakunin_owner5_NAME="", "", wskakunin_owner5_NAME)</f>
        <v/>
      </c>
      <c r="H140" s="22"/>
    </row>
    <row r="141" spans="1:8" ht="12">
      <c r="A141" s="53"/>
      <c r="B141" s="131" t="s">
        <v>197</v>
      </c>
      <c r="C141" s="21" t="s">
        <v>305</v>
      </c>
      <c r="D141" s="162" t="s">
        <v>112</v>
      </c>
      <c r="E141" s="21" t="s">
        <v>306</v>
      </c>
      <c r="F141" s="162" t="str">
        <f>IF(wskakunin_owner5_NAME_KANA="","",wskakunin_owner5_NAME_KANA)</f>
        <v/>
      </c>
      <c r="H141" s="22"/>
    </row>
    <row r="142" spans="1:8" ht="12">
      <c r="A142" s="53"/>
      <c r="B142" s="131" t="s">
        <v>205</v>
      </c>
      <c r="C142" s="21" t="s">
        <v>307</v>
      </c>
      <c r="D142" s="255" t="s">
        <v>112</v>
      </c>
      <c r="E142" s="21" t="s">
        <v>308</v>
      </c>
      <c r="F142" s="162" t="str">
        <f>IF(wskakunin_owner5_ZIP="", "", wskakunin_owner5_ZIP)</f>
        <v/>
      </c>
      <c r="H142" s="22"/>
    </row>
    <row r="143" spans="1:8" ht="12">
      <c r="A143" s="53"/>
      <c r="B143" s="131" t="s">
        <v>210</v>
      </c>
      <c r="C143" s="21" t="s">
        <v>309</v>
      </c>
      <c r="D143" s="162" t="s">
        <v>112</v>
      </c>
      <c r="E143" s="21" t="s">
        <v>310</v>
      </c>
      <c r="F143" s="162" t="str">
        <f>IF(wskakunin_owner5__address="", "", wskakunin_owner5__address)</f>
        <v/>
      </c>
      <c r="H143" s="22"/>
    </row>
    <row r="144" spans="1:8" ht="12">
      <c r="A144" s="53"/>
      <c r="B144" s="131" t="s">
        <v>214</v>
      </c>
      <c r="C144" s="21" t="s">
        <v>311</v>
      </c>
      <c r="D144" s="255" t="s">
        <v>112</v>
      </c>
      <c r="E144" s="21" t="s">
        <v>312</v>
      </c>
      <c r="F144" s="162" t="str">
        <f>IF(wskakunin_owner5_TEL="", "", wskakunin_owner5_TEL)</f>
        <v/>
      </c>
      <c r="H144" s="22"/>
    </row>
    <row r="145" spans="1:8" ht="12">
      <c r="A145" s="53"/>
      <c r="B145" s="77" t="s">
        <v>219</v>
      </c>
      <c r="D145" s="37"/>
      <c r="E145" s="21" t="s">
        <v>313</v>
      </c>
      <c r="F145" s="162" t="str">
        <f>IF(wskakunin_owner5_JIMU_NAME="",cst_wskakunin_owner5_NAME,IF(wskakunin_owner5_POST="",cst_wskakunin_owner5_NAME,cst_wskakunin_owner5_JIMU_NAME&amp;"　"&amp;cst_wskakunin_owner5_POST&amp;"　"&amp;cst_wskakunin_owner5_NAME))</f>
        <v/>
      </c>
      <c r="H145" s="22"/>
    </row>
    <row r="146" spans="1:8" ht="12">
      <c r="A146" s="53"/>
      <c r="B146" s="161"/>
      <c r="D146" s="37"/>
      <c r="F146" s="22"/>
      <c r="H146" s="22"/>
    </row>
    <row r="147" spans="1:8" ht="12">
      <c r="A147" s="49" t="s">
        <v>314</v>
      </c>
      <c r="B147" s="52"/>
      <c r="H147" s="22"/>
    </row>
    <row r="148" spans="1:8" ht="12">
      <c r="A148" s="86"/>
      <c r="B148" s="131" t="s">
        <v>182</v>
      </c>
      <c r="C148" s="21" t="s">
        <v>315</v>
      </c>
      <c r="D148" s="162" t="s">
        <v>112</v>
      </c>
      <c r="E148" s="21" t="s">
        <v>316</v>
      </c>
      <c r="F148" s="162" t="str">
        <f>IF(wskakunin_owner6_JIMU_NAME="", "", wskakunin_owner6_JIMU_NAME)</f>
        <v/>
      </c>
      <c r="H148" s="22"/>
    </row>
    <row r="149" spans="1:8" ht="12">
      <c r="A149" s="86"/>
      <c r="B149" s="131" t="s">
        <v>185</v>
      </c>
      <c r="C149" s="21" t="s">
        <v>317</v>
      </c>
      <c r="D149" s="162" t="s">
        <v>112</v>
      </c>
      <c r="E149" s="21" t="s">
        <v>318</v>
      </c>
      <c r="F149" s="162" t="str">
        <f>IF(wskakunin_owner6_JIMU_NAME_KANA="","",wskakunin_owner6_JIMU_NAME_KANA)</f>
        <v/>
      </c>
      <c r="H149" s="22"/>
    </row>
    <row r="150" spans="1:8" ht="12">
      <c r="A150" s="86"/>
      <c r="B150" s="131" t="s">
        <v>188</v>
      </c>
      <c r="C150" s="21" t="s">
        <v>319</v>
      </c>
      <c r="D150" s="162" t="s">
        <v>112</v>
      </c>
      <c r="E150" s="21" t="s">
        <v>320</v>
      </c>
      <c r="F150" s="162" t="str">
        <f>IF(wskakunin_owner6_POST="", "", wskakunin_owner6_POST)</f>
        <v/>
      </c>
      <c r="H150" s="22"/>
    </row>
    <row r="151" spans="1:8" ht="12">
      <c r="A151" s="86"/>
      <c r="B151" s="131" t="s">
        <v>191</v>
      </c>
      <c r="C151" s="21" t="s">
        <v>321</v>
      </c>
      <c r="D151" s="162" t="s">
        <v>112</v>
      </c>
      <c r="E151" s="21" t="s">
        <v>322</v>
      </c>
      <c r="F151" s="162" t="str">
        <f>IF(wskakunin_owner6_POST_KANA="","",wskakunin_owner6_POST_KANA)</f>
        <v/>
      </c>
      <c r="H151" s="22"/>
    </row>
    <row r="152" spans="1:8" ht="12">
      <c r="A152" s="86"/>
      <c r="B152" s="131" t="s">
        <v>194</v>
      </c>
      <c r="C152" s="21" t="s">
        <v>323</v>
      </c>
      <c r="D152" s="162" t="s">
        <v>112</v>
      </c>
      <c r="E152" s="21" t="s">
        <v>324</v>
      </c>
      <c r="F152" s="162" t="str">
        <f>IF(wskakunin_owner6_NAME="", "", wskakunin_owner6_NAME)</f>
        <v/>
      </c>
      <c r="H152" s="22"/>
    </row>
    <row r="153" spans="1:8" ht="12">
      <c r="A153" s="53"/>
      <c r="B153" s="131" t="s">
        <v>197</v>
      </c>
      <c r="C153" s="21" t="s">
        <v>325</v>
      </c>
      <c r="D153" s="162" t="s">
        <v>112</v>
      </c>
      <c r="E153" s="21" t="s">
        <v>326</v>
      </c>
      <c r="F153" s="162" t="str">
        <f>IF(wskakunin_owner6_NAME_KANA="","",wskakunin_owner6_NAME_KANA)</f>
        <v/>
      </c>
      <c r="H153" s="22"/>
    </row>
    <row r="154" spans="1:8" ht="12">
      <c r="A154" s="53"/>
      <c r="B154" s="131" t="s">
        <v>205</v>
      </c>
      <c r="C154" s="21" t="s">
        <v>327</v>
      </c>
      <c r="D154" s="255" t="s">
        <v>112</v>
      </c>
      <c r="E154" s="21" t="s">
        <v>328</v>
      </c>
      <c r="F154" s="162" t="str">
        <f>IF(wskakunin_owner6_ZIP="", "", wskakunin_owner6_ZIP)</f>
        <v/>
      </c>
      <c r="H154" s="22"/>
    </row>
    <row r="155" spans="1:8" ht="12">
      <c r="A155" s="53"/>
      <c r="B155" s="131" t="s">
        <v>210</v>
      </c>
      <c r="C155" s="21" t="s">
        <v>329</v>
      </c>
      <c r="D155" s="162" t="s">
        <v>112</v>
      </c>
      <c r="E155" s="21" t="s">
        <v>330</v>
      </c>
      <c r="F155" s="162" t="str">
        <f>IF(wskakunin_owner6__address="", "", wskakunin_owner6__address)</f>
        <v/>
      </c>
      <c r="H155" s="22"/>
    </row>
    <row r="156" spans="1:8" ht="12">
      <c r="A156" s="53"/>
      <c r="B156" s="131" t="s">
        <v>214</v>
      </c>
      <c r="C156" s="21" t="s">
        <v>331</v>
      </c>
      <c r="D156" s="255" t="s">
        <v>112</v>
      </c>
      <c r="E156" s="21" t="s">
        <v>332</v>
      </c>
      <c r="F156" s="162" t="str">
        <f>IF(wskakunin_owner6_TEL="", "", wskakunin_owner6_TEL)</f>
        <v/>
      </c>
      <c r="H156" s="22"/>
    </row>
    <row r="157" spans="1:8" ht="24">
      <c r="A157" s="53"/>
      <c r="B157" s="80" t="s">
        <v>223</v>
      </c>
      <c r="E157" s="21" t="s">
        <v>333</v>
      </c>
      <c r="F157" s="162" t="str">
        <f>wskakunin_owner6_JIMU_NAME&amp;IF(wskakunin_owner6_JIMU_NAME="","",CHAR(10))&amp;cst_wskakunin_owner6__space2</f>
        <v/>
      </c>
      <c r="H157" s="22"/>
    </row>
    <row r="158" spans="1:8" ht="12">
      <c r="A158" s="53"/>
      <c r="B158" s="161"/>
      <c r="D158" s="37"/>
      <c r="F158" s="22"/>
      <c r="H158" s="22"/>
    </row>
    <row r="159" spans="1:8" ht="12">
      <c r="A159" s="49" t="s">
        <v>334</v>
      </c>
      <c r="B159" s="52"/>
      <c r="H159" s="22"/>
    </row>
    <row r="160" spans="1:8" ht="12">
      <c r="A160" s="86"/>
      <c r="B160" s="131" t="s">
        <v>182</v>
      </c>
      <c r="C160" s="21" t="s">
        <v>335</v>
      </c>
      <c r="D160" s="162" t="s">
        <v>112</v>
      </c>
      <c r="E160" s="21" t="s">
        <v>336</v>
      </c>
      <c r="F160" s="162" t="str">
        <f>IF(wskakunin_owner7_JIMU_NAME="", "", wskakunin_owner7_JIMU_NAME)</f>
        <v/>
      </c>
      <c r="H160" s="22"/>
    </row>
    <row r="161" spans="1:8" ht="12">
      <c r="A161" s="86"/>
      <c r="B161" s="131" t="s">
        <v>185</v>
      </c>
      <c r="C161" s="21" t="s">
        <v>337</v>
      </c>
      <c r="D161" s="162" t="s">
        <v>112</v>
      </c>
      <c r="E161" s="21" t="s">
        <v>338</v>
      </c>
      <c r="F161" s="162" t="str">
        <f>IF(wskakunin_owner7_JIMU_NAME_KANA="","",wskakunin_owner7_JIMU_NAME_KANA)</f>
        <v/>
      </c>
      <c r="H161" s="22"/>
    </row>
    <row r="162" spans="1:8" ht="12">
      <c r="A162" s="86"/>
      <c r="B162" s="131" t="s">
        <v>188</v>
      </c>
      <c r="C162" s="21" t="s">
        <v>339</v>
      </c>
      <c r="D162" s="162" t="s">
        <v>112</v>
      </c>
      <c r="E162" s="21" t="s">
        <v>340</v>
      </c>
      <c r="F162" s="162" t="str">
        <f>IF(wskakunin_owner7_POST="", "", wskakunin_owner7_POST)</f>
        <v/>
      </c>
      <c r="H162" s="22"/>
    </row>
    <row r="163" spans="1:8" ht="12">
      <c r="A163" s="86"/>
      <c r="B163" s="131" t="s">
        <v>191</v>
      </c>
      <c r="C163" s="21" t="s">
        <v>341</v>
      </c>
      <c r="D163" s="162" t="s">
        <v>112</v>
      </c>
      <c r="E163" s="21" t="s">
        <v>342</v>
      </c>
      <c r="F163" s="162" t="str">
        <f>IF(wskakunin_owner7_POST_KANA="","",wskakunin_owner7_POST_KANA)</f>
        <v/>
      </c>
      <c r="H163" s="22"/>
    </row>
    <row r="164" spans="1:8" ht="12">
      <c r="A164" s="86"/>
      <c r="B164" s="131" t="s">
        <v>194</v>
      </c>
      <c r="C164" s="21" t="s">
        <v>343</v>
      </c>
      <c r="D164" s="162" t="s">
        <v>112</v>
      </c>
      <c r="E164" s="21" t="s">
        <v>344</v>
      </c>
      <c r="F164" s="162" t="str">
        <f>IF(wskakunin_owner7_NAME="", "", wskakunin_owner7_NAME)</f>
        <v/>
      </c>
      <c r="H164" s="22"/>
    </row>
    <row r="165" spans="1:8" ht="12">
      <c r="A165" s="53"/>
      <c r="B165" s="131" t="s">
        <v>197</v>
      </c>
      <c r="C165" s="21" t="s">
        <v>345</v>
      </c>
      <c r="D165" s="162" t="s">
        <v>112</v>
      </c>
      <c r="E165" s="21" t="s">
        <v>346</v>
      </c>
      <c r="F165" s="162" t="str">
        <f>IF(wskakunin_owner7_NAME_KANA="","",wskakunin_owner7_NAME_KANA)</f>
        <v/>
      </c>
      <c r="H165" s="22"/>
    </row>
    <row r="166" spans="1:8" ht="12">
      <c r="A166" s="53"/>
      <c r="B166" s="131" t="s">
        <v>205</v>
      </c>
      <c r="C166" s="21" t="s">
        <v>347</v>
      </c>
      <c r="D166" s="255" t="s">
        <v>112</v>
      </c>
      <c r="E166" s="21" t="s">
        <v>348</v>
      </c>
      <c r="F166" s="162" t="str">
        <f>IF(wskakunin_owner7_ZIP="", "", wskakunin_owner7_ZIP)</f>
        <v/>
      </c>
      <c r="H166" s="22"/>
    </row>
    <row r="167" spans="1:8" ht="12">
      <c r="A167" s="53"/>
      <c r="B167" s="131" t="s">
        <v>210</v>
      </c>
      <c r="C167" s="21" t="s">
        <v>349</v>
      </c>
      <c r="D167" s="162" t="s">
        <v>112</v>
      </c>
      <c r="E167" s="21" t="s">
        <v>350</v>
      </c>
      <c r="F167" s="162" t="str">
        <f>IF(wskakunin_owner7__address="", "", wskakunin_owner7__address)</f>
        <v/>
      </c>
      <c r="H167" s="22"/>
    </row>
    <row r="168" spans="1:8" ht="12">
      <c r="A168" s="53"/>
      <c r="B168" s="131" t="s">
        <v>214</v>
      </c>
      <c r="C168" s="21" t="s">
        <v>351</v>
      </c>
      <c r="D168" s="255" t="s">
        <v>112</v>
      </c>
      <c r="E168" s="21" t="s">
        <v>352</v>
      </c>
      <c r="F168" s="162" t="str">
        <f>IF(wskakunin_owner7_TEL="", "", wskakunin_owner7_TEL)</f>
        <v/>
      </c>
      <c r="H168" s="22"/>
    </row>
    <row r="169" spans="1:8" ht="12">
      <c r="A169" s="53"/>
      <c r="B169" s="161"/>
      <c r="D169" s="37"/>
      <c r="F169" s="22"/>
      <c r="H169" s="22"/>
    </row>
    <row r="170" spans="1:8" ht="12">
      <c r="A170" s="49" t="s">
        <v>353</v>
      </c>
      <c r="B170" s="52"/>
      <c r="H170" s="22"/>
    </row>
    <row r="171" spans="1:8" ht="12">
      <c r="A171" s="86"/>
      <c r="B171" s="131" t="s">
        <v>182</v>
      </c>
      <c r="C171" s="21" t="s">
        <v>354</v>
      </c>
      <c r="D171" s="162" t="s">
        <v>112</v>
      </c>
      <c r="E171" s="21" t="s">
        <v>355</v>
      </c>
      <c r="F171" s="162" t="str">
        <f>IF(wskakunin_owner8_JIMU_NAME="", "", wskakunin_owner8_JIMU_NAME)</f>
        <v/>
      </c>
      <c r="H171" s="22"/>
    </row>
    <row r="172" spans="1:8" ht="12">
      <c r="A172" s="86"/>
      <c r="B172" s="131" t="s">
        <v>185</v>
      </c>
      <c r="C172" s="21" t="s">
        <v>356</v>
      </c>
      <c r="D172" s="162" t="s">
        <v>112</v>
      </c>
      <c r="E172" s="21" t="s">
        <v>357</v>
      </c>
      <c r="F172" s="162" t="str">
        <f>IF(wskakunin_owner8_JIMU_NAME_KANA="","",wskakunin_owner8_JIMU_NAME_KANA)</f>
        <v/>
      </c>
      <c r="H172" s="22"/>
    </row>
    <row r="173" spans="1:8" ht="12">
      <c r="A173" s="86"/>
      <c r="B173" s="131" t="s">
        <v>188</v>
      </c>
      <c r="C173" s="21" t="s">
        <v>358</v>
      </c>
      <c r="D173" s="162" t="s">
        <v>112</v>
      </c>
      <c r="E173" s="21" t="s">
        <v>359</v>
      </c>
      <c r="F173" s="162" t="str">
        <f>IF(wskakunin_owner8_POST="", "", wskakunin_owner8_POST)</f>
        <v/>
      </c>
      <c r="H173" s="22"/>
    </row>
    <row r="174" spans="1:8" ht="12">
      <c r="A174" s="86"/>
      <c r="B174" s="131" t="s">
        <v>191</v>
      </c>
      <c r="C174" s="21" t="s">
        <v>360</v>
      </c>
      <c r="D174" s="162" t="s">
        <v>112</v>
      </c>
      <c r="E174" s="21" t="s">
        <v>361</v>
      </c>
      <c r="F174" s="162" t="str">
        <f>IF(wskakunin_owner8_POST_KANA="","",wskakunin_owner8_POST_KANA)</f>
        <v/>
      </c>
      <c r="H174" s="22"/>
    </row>
    <row r="175" spans="1:8" ht="12">
      <c r="A175" s="86"/>
      <c r="B175" s="131" t="s">
        <v>194</v>
      </c>
      <c r="C175" s="21" t="s">
        <v>362</v>
      </c>
      <c r="D175" s="162" t="s">
        <v>112</v>
      </c>
      <c r="E175" s="21" t="s">
        <v>363</v>
      </c>
      <c r="F175" s="162" t="str">
        <f>IF(wskakunin_owner8_NAME="", "", wskakunin_owner8_NAME)</f>
        <v/>
      </c>
      <c r="H175" s="22"/>
    </row>
    <row r="176" spans="1:8" ht="12">
      <c r="A176" s="53"/>
      <c r="B176" s="131" t="s">
        <v>197</v>
      </c>
      <c r="C176" s="21" t="s">
        <v>364</v>
      </c>
      <c r="D176" s="162" t="s">
        <v>112</v>
      </c>
      <c r="E176" s="21" t="s">
        <v>365</v>
      </c>
      <c r="F176" s="162" t="str">
        <f>IF(wskakunin_owner8_NAME_KANA="","",wskakunin_owner8_NAME_KANA)</f>
        <v/>
      </c>
      <c r="H176" s="22"/>
    </row>
    <row r="177" spans="1:8" ht="12">
      <c r="A177" s="53"/>
      <c r="B177" s="131" t="s">
        <v>205</v>
      </c>
      <c r="C177" s="21" t="s">
        <v>366</v>
      </c>
      <c r="D177" s="255" t="s">
        <v>112</v>
      </c>
      <c r="E177" s="21" t="s">
        <v>367</v>
      </c>
      <c r="F177" s="162" t="str">
        <f>IF(wskakunin_owner8_ZIP="", "", wskakunin_owner8_ZIP)</f>
        <v/>
      </c>
      <c r="H177" s="22"/>
    </row>
    <row r="178" spans="1:8" ht="12">
      <c r="A178" s="53"/>
      <c r="B178" s="131" t="s">
        <v>210</v>
      </c>
      <c r="C178" s="21" t="s">
        <v>368</v>
      </c>
      <c r="D178" s="162" t="s">
        <v>112</v>
      </c>
      <c r="E178" s="21" t="s">
        <v>369</v>
      </c>
      <c r="F178" s="162" t="str">
        <f>IF(wskakunin_owner8__address="", "", wskakunin_owner8__address)</f>
        <v/>
      </c>
      <c r="H178" s="22"/>
    </row>
    <row r="179" spans="1:8" ht="12">
      <c r="A179" s="53"/>
      <c r="B179" s="131" t="s">
        <v>214</v>
      </c>
      <c r="C179" s="21" t="s">
        <v>370</v>
      </c>
      <c r="D179" s="255" t="s">
        <v>112</v>
      </c>
      <c r="E179" s="21" t="s">
        <v>371</v>
      </c>
      <c r="F179" s="162" t="str">
        <f>IF(wskakunin_owner8_TEL="", "", wskakunin_owner8_TEL)</f>
        <v/>
      </c>
      <c r="H179" s="22"/>
    </row>
    <row r="180" spans="1:8" ht="12">
      <c r="A180" s="53"/>
      <c r="B180" s="161"/>
      <c r="D180" s="37"/>
      <c r="F180" s="22"/>
      <c r="H180" s="22"/>
    </row>
    <row r="181" spans="1:8" ht="12">
      <c r="A181" s="49" t="s">
        <v>372</v>
      </c>
      <c r="B181" s="52"/>
      <c r="H181" s="22"/>
    </row>
    <row r="182" spans="1:8" ht="12">
      <c r="A182" s="86"/>
      <c r="B182" s="131" t="s">
        <v>182</v>
      </c>
      <c r="C182" s="21" t="s">
        <v>373</v>
      </c>
      <c r="D182" s="162" t="s">
        <v>112</v>
      </c>
      <c r="E182" s="21" t="s">
        <v>374</v>
      </c>
      <c r="F182" s="162" t="str">
        <f>IF(wskakunin_owner9_JIMU_NAME="", "", wskakunin_owner9_JIMU_NAME)</f>
        <v/>
      </c>
      <c r="H182" s="22"/>
    </row>
    <row r="183" spans="1:8" ht="12">
      <c r="A183" s="86"/>
      <c r="B183" s="131" t="s">
        <v>185</v>
      </c>
      <c r="C183" s="21" t="s">
        <v>375</v>
      </c>
      <c r="D183" s="162" t="s">
        <v>112</v>
      </c>
      <c r="E183" s="21" t="s">
        <v>376</v>
      </c>
      <c r="F183" s="162" t="str">
        <f>IF(wskakunin_owner9_JIMU_NAME_KANA="","",wskakunin_owner9_JIMU_NAME_KANA)</f>
        <v/>
      </c>
      <c r="H183" s="22"/>
    </row>
    <row r="184" spans="1:8" ht="12">
      <c r="A184" s="86"/>
      <c r="B184" s="131" t="s">
        <v>188</v>
      </c>
      <c r="C184" s="21" t="s">
        <v>377</v>
      </c>
      <c r="D184" s="162" t="s">
        <v>112</v>
      </c>
      <c r="E184" s="21" t="s">
        <v>378</v>
      </c>
      <c r="F184" s="162" t="str">
        <f>IF(wskakunin_owner9_POST="", "", wskakunin_owner9_POST)</f>
        <v/>
      </c>
      <c r="H184" s="22"/>
    </row>
    <row r="185" spans="1:8" ht="12">
      <c r="A185" s="86"/>
      <c r="B185" s="131" t="s">
        <v>191</v>
      </c>
      <c r="C185" s="21" t="s">
        <v>379</v>
      </c>
      <c r="D185" s="162" t="s">
        <v>112</v>
      </c>
      <c r="E185" s="21" t="s">
        <v>380</v>
      </c>
      <c r="F185" s="162" t="str">
        <f>IF(wskakunin_owner9_POST_KANA="","",wskakunin_owner9_POST_KANA)</f>
        <v/>
      </c>
      <c r="H185" s="22"/>
    </row>
    <row r="186" spans="1:8" ht="12">
      <c r="A186" s="86"/>
      <c r="B186" s="131" t="s">
        <v>194</v>
      </c>
      <c r="C186" s="21" t="s">
        <v>381</v>
      </c>
      <c r="D186" s="162" t="s">
        <v>112</v>
      </c>
      <c r="E186" s="21" t="s">
        <v>382</v>
      </c>
      <c r="F186" s="162" t="str">
        <f>IF(wskakunin_owner9_NAME="", "", wskakunin_owner9_NAME)</f>
        <v/>
      </c>
      <c r="H186" s="22"/>
    </row>
    <row r="187" spans="1:8" ht="12">
      <c r="A187" s="53"/>
      <c r="B187" s="131" t="s">
        <v>197</v>
      </c>
      <c r="C187" s="21" t="s">
        <v>383</v>
      </c>
      <c r="D187" s="162" t="s">
        <v>112</v>
      </c>
      <c r="E187" s="21" t="s">
        <v>384</v>
      </c>
      <c r="F187" s="162" t="str">
        <f>IF(wskakunin_owner9_NAME_KANA="","",wskakunin_owner9_NAME_KANA)</f>
        <v/>
      </c>
      <c r="H187" s="22"/>
    </row>
    <row r="188" spans="1:8" ht="12">
      <c r="A188" s="53"/>
      <c r="B188" s="131" t="s">
        <v>205</v>
      </c>
      <c r="C188" s="21" t="s">
        <v>385</v>
      </c>
      <c r="D188" s="255" t="s">
        <v>112</v>
      </c>
      <c r="E188" s="21" t="s">
        <v>386</v>
      </c>
      <c r="F188" s="162" t="str">
        <f>IF(wskakunin_owner9_ZIP="", "", wskakunin_owner9_ZIP)</f>
        <v/>
      </c>
      <c r="H188" s="22"/>
    </row>
    <row r="189" spans="1:8" ht="12">
      <c r="A189" s="53"/>
      <c r="B189" s="131" t="s">
        <v>210</v>
      </c>
      <c r="C189" s="21" t="s">
        <v>387</v>
      </c>
      <c r="D189" s="162" t="s">
        <v>112</v>
      </c>
      <c r="E189" s="21" t="s">
        <v>388</v>
      </c>
      <c r="F189" s="162" t="str">
        <f>IF(wskakunin_owner9__address="", "", wskakunin_owner9__address)</f>
        <v/>
      </c>
      <c r="H189" s="22"/>
    </row>
    <row r="190" spans="1:8" ht="12">
      <c r="A190" s="53"/>
      <c r="B190" s="131" t="s">
        <v>214</v>
      </c>
      <c r="C190" s="21" t="s">
        <v>389</v>
      </c>
      <c r="D190" s="255" t="s">
        <v>112</v>
      </c>
      <c r="E190" s="21" t="s">
        <v>390</v>
      </c>
      <c r="F190" s="162" t="str">
        <f>IF(wskakunin_owner9_TEL="", "", wskakunin_owner9_TEL)</f>
        <v/>
      </c>
      <c r="H190" s="22"/>
    </row>
    <row r="191" spans="1:8" ht="12">
      <c r="A191" s="53"/>
      <c r="B191" s="161"/>
      <c r="D191" s="37"/>
      <c r="F191" s="22"/>
      <c r="H191" s="22"/>
    </row>
    <row r="192" spans="1:8" ht="12">
      <c r="A192" s="55" t="s">
        <v>391</v>
      </c>
      <c r="B192" s="114"/>
      <c r="G192" s="22"/>
      <c r="H192" s="22"/>
    </row>
    <row r="193" spans="1:8" ht="12">
      <c r="A193" s="115"/>
      <c r="B193" s="79" t="s">
        <v>392</v>
      </c>
      <c r="C193" s="21" t="s">
        <v>393</v>
      </c>
      <c r="D193" s="261" t="s">
        <v>394</v>
      </c>
      <c r="E193" s="21" t="s">
        <v>395</v>
      </c>
      <c r="F193" s="261" t="str">
        <f>IF(wskakunin_dairi1__sikaku="", "", wskakunin_dairi1__sikaku)</f>
        <v>一級建築士大臣登録第001100号</v>
      </c>
      <c r="G193" s="22"/>
      <c r="H193" s="22"/>
    </row>
    <row r="194" spans="1:8" ht="12">
      <c r="A194" s="115"/>
      <c r="B194" s="79" t="s">
        <v>396</v>
      </c>
      <c r="C194" s="21" t="s">
        <v>397</v>
      </c>
      <c r="D194" s="261" t="s">
        <v>398</v>
      </c>
      <c r="E194" s="21" t="s">
        <v>399</v>
      </c>
      <c r="F194" s="261" t="str">
        <f>IF(wskakunin_dairi1_SIKAKU__label="","",wskakunin_dairi1_SIKAKU__label)</f>
        <v>一級</v>
      </c>
      <c r="G194" s="22"/>
      <c r="H194" s="22"/>
    </row>
    <row r="195" spans="1:8" ht="12">
      <c r="A195" s="115"/>
      <c r="B195" s="79" t="s">
        <v>400</v>
      </c>
      <c r="C195" s="21" t="s">
        <v>401</v>
      </c>
      <c r="D195" s="261" t="s">
        <v>402</v>
      </c>
      <c r="E195" s="21" t="s">
        <v>403</v>
      </c>
      <c r="F195" s="261" t="str">
        <f>IF(wskakunin_dairi1_TOUROKU_KIKAN__label="","",wskakunin_dairi1_TOUROKU_KIKAN__label)</f>
        <v>大臣</v>
      </c>
      <c r="G195" s="22"/>
      <c r="H195" s="22"/>
    </row>
    <row r="196" spans="1:8" ht="12">
      <c r="A196" s="115"/>
      <c r="B196" s="79" t="s">
        <v>404</v>
      </c>
      <c r="C196" s="21" t="s">
        <v>405</v>
      </c>
      <c r="D196" s="263" t="s">
        <v>406</v>
      </c>
      <c r="E196" s="21" t="s">
        <v>407</v>
      </c>
      <c r="F196" s="261" t="str">
        <f>IF(wskakunin_dairi1_KENTIKUSI_NO="","",wskakunin_dairi1_KENTIKUSI_NO)</f>
        <v>001100</v>
      </c>
      <c r="G196" s="22"/>
      <c r="H196" s="22"/>
    </row>
    <row r="197" spans="1:8" ht="12">
      <c r="A197" s="297"/>
      <c r="B197" s="79" t="s">
        <v>188</v>
      </c>
      <c r="C197" s="21" t="s">
        <v>408</v>
      </c>
      <c r="D197" s="263"/>
      <c r="E197" s="21" t="s">
        <v>409</v>
      </c>
      <c r="F197" s="261" t="str">
        <f>IF(wsflat35_dairi1_POST="","",wsflat35_dairi1_POST)</f>
        <v/>
      </c>
      <c r="G197" s="22"/>
      <c r="H197" s="22"/>
    </row>
    <row r="198" spans="1:8" ht="12">
      <c r="A198" s="64"/>
      <c r="B198" s="79" t="s">
        <v>194</v>
      </c>
      <c r="C198" s="21" t="s">
        <v>410</v>
      </c>
      <c r="D198" s="261" t="s">
        <v>411</v>
      </c>
      <c r="E198" s="21" t="s">
        <v>412</v>
      </c>
      <c r="F198" s="261" t="str">
        <f>IF(wskakunin_dairi1_NAME="", "", wskakunin_dairi1_NAME)</f>
        <v>現場　猫</v>
      </c>
      <c r="G198" s="22"/>
      <c r="H198" s="22"/>
    </row>
    <row r="199" spans="1:8" ht="12">
      <c r="A199" s="64"/>
      <c r="B199" s="79" t="s">
        <v>413</v>
      </c>
      <c r="C199" s="21" t="s">
        <v>414</v>
      </c>
      <c r="D199" s="261" t="s">
        <v>112</v>
      </c>
      <c r="E199" s="21" t="s">
        <v>415</v>
      </c>
      <c r="F199" s="261" t="str">
        <f>IF(wskakunin_dairi1_NAME_KANA="", "", wskakunin_dairi1_NAME_KANA)</f>
        <v/>
      </c>
      <c r="G199" s="22"/>
      <c r="H199" s="22"/>
    </row>
    <row r="200" spans="1:8" ht="12">
      <c r="A200" s="64"/>
      <c r="B200" s="79" t="s">
        <v>416</v>
      </c>
      <c r="C200" s="21" t="s">
        <v>417</v>
      </c>
      <c r="D200" s="261" t="s">
        <v>418</v>
      </c>
      <c r="E200" s="21" t="s">
        <v>419</v>
      </c>
      <c r="F200" s="261" t="str">
        <f>IF(wskakunin_dairi1_JIMU__sikaku="", "", wskakunin_dairi1_JIMU__sikaku)</f>
        <v>一級建築士事務所京都府知事登録第03A00000号</v>
      </c>
      <c r="G200" s="22"/>
      <c r="H200" s="22"/>
    </row>
    <row r="201" spans="1:8" ht="12">
      <c r="A201" s="64"/>
      <c r="B201" s="79" t="s">
        <v>420</v>
      </c>
      <c r="C201" s="21" t="s">
        <v>421</v>
      </c>
      <c r="D201" s="261" t="s">
        <v>398</v>
      </c>
      <c r="E201" s="21" t="s">
        <v>422</v>
      </c>
      <c r="F201" s="261" t="str">
        <f>IF(wskakunin_dairi1_JIMU_SIKAKU__label="","",wskakunin_dairi1_JIMU_SIKAKU__label)</f>
        <v>一級</v>
      </c>
      <c r="G201" s="22"/>
      <c r="H201" s="22"/>
    </row>
    <row r="202" spans="1:8" ht="12">
      <c r="A202" s="64"/>
      <c r="B202" s="79" t="s">
        <v>423</v>
      </c>
      <c r="C202" s="21" t="s">
        <v>424</v>
      </c>
      <c r="D202" s="261" t="s">
        <v>425</v>
      </c>
      <c r="E202" s="21" t="s">
        <v>426</v>
      </c>
      <c r="F202" s="261" t="str">
        <f>IF(wskakunin_dairi1_JIMU_TOUROKU_KIKAN__label="","",wskakunin_dairi1_JIMU_TOUROKU_KIKAN__label)</f>
        <v>京都府</v>
      </c>
      <c r="G202" s="22"/>
      <c r="H202" s="22"/>
    </row>
    <row r="203" spans="1:8" ht="12">
      <c r="A203" s="64"/>
      <c r="B203" s="79" t="s">
        <v>427</v>
      </c>
      <c r="C203" s="21" t="s">
        <v>428</v>
      </c>
      <c r="D203" s="263" t="s">
        <v>429</v>
      </c>
      <c r="E203" s="21" t="s">
        <v>430</v>
      </c>
      <c r="F203" s="261" t="str">
        <f>IF(wskakunin_dairi1_JIMU_NO="","",wskakunin_dairi1_JIMU_NO)</f>
        <v>03A00000</v>
      </c>
      <c r="G203" s="22"/>
      <c r="H203" s="22"/>
    </row>
    <row r="204" spans="1:8" ht="12">
      <c r="A204" s="64"/>
      <c r="B204" s="79" t="s">
        <v>431</v>
      </c>
      <c r="C204" s="21" t="s">
        <v>432</v>
      </c>
      <c r="D204" s="261" t="s">
        <v>433</v>
      </c>
      <c r="E204" s="21" t="s">
        <v>434</v>
      </c>
      <c r="F204" s="261" t="str">
        <f>IF(wskakunin_dairi1_JIMU_NAME="", "",wskakunin_dairi1_JIMU_NAME)</f>
        <v>猫建築事務所</v>
      </c>
      <c r="G204" s="22"/>
      <c r="H204" s="22"/>
    </row>
    <row r="205" spans="1:8" ht="12">
      <c r="A205" s="64"/>
      <c r="B205" s="79" t="s">
        <v>205</v>
      </c>
      <c r="C205" s="21" t="s">
        <v>435</v>
      </c>
      <c r="D205" s="263" t="s">
        <v>436</v>
      </c>
      <c r="E205" s="21" t="s">
        <v>437</v>
      </c>
      <c r="F205" s="261" t="str">
        <f>IF(wskakunin_dairi1_ZIP="", "", wskakunin_dairi1_ZIP)</f>
        <v>604-0001</v>
      </c>
      <c r="G205" s="22"/>
      <c r="H205" s="22"/>
    </row>
    <row r="206" spans="1:8" ht="12">
      <c r="A206" s="64"/>
      <c r="B206" s="79" t="s">
        <v>438</v>
      </c>
      <c r="C206" s="21" t="s">
        <v>439</v>
      </c>
      <c r="D206" s="261" t="s">
        <v>440</v>
      </c>
      <c r="E206" s="21" t="s">
        <v>441</v>
      </c>
      <c r="F206" s="261" t="str">
        <f>IF(wskakunin_dairi1__address="", "", wskakunin_dairi1__address)</f>
        <v>京都府京都市中京区道場町1</v>
      </c>
      <c r="G206" s="22"/>
      <c r="H206" s="22"/>
    </row>
    <row r="207" spans="1:8" ht="12">
      <c r="A207" s="64"/>
      <c r="B207" s="79" t="s">
        <v>214</v>
      </c>
      <c r="C207" s="21" t="s">
        <v>442</v>
      </c>
      <c r="D207" s="263" t="s">
        <v>443</v>
      </c>
      <c r="E207" s="21" t="s">
        <v>444</v>
      </c>
      <c r="F207" s="261" t="str">
        <f>IF(wskakunin_dairi1_TEL="", "", wskakunin_dairi1_TEL)</f>
        <v>075-000-0000</v>
      </c>
      <c r="G207" s="22"/>
      <c r="H207" s="22"/>
    </row>
    <row r="208" spans="1:8" ht="12">
      <c r="A208" s="295"/>
      <c r="B208" s="307"/>
      <c r="E208" s="21" t="s">
        <v>445</v>
      </c>
      <c r="F208" s="261" t="str">
        <f>IF(wskakunin_dairi1_TEL="","（　　　　）　　　-","（"&amp;LEFT(cst_wskakunin_dairi1_TEL,FIND("-",cst_wskakunin_dairi1_TEL)-1)&amp;"）　"&amp;MID(cst_wskakunin_dairi1_TEL,FIND("-",cst_wskakunin_dairi1_TEL)+1,FIND("-",cst_wskakunin_dairi1_TEL,FIND("-",cst_wskakunin_dairi1_TEL)+1)-FIND("-",cst_wskakunin_dairi1_TEL)-1)&amp;"-"&amp;RIGHT(cst_wskakunin_dairi1_TEL,LEN(cst_wskakunin_dairi1_TEL)-FIND("-",cst_wskakunin_dairi1_TEL,FIND("-",cst_wskakunin_dairi1_TEL)+1)))</f>
        <v>（075）　000-0000</v>
      </c>
      <c r="G208" s="22"/>
      <c r="H208" s="22"/>
    </row>
    <row r="209" spans="1:8" ht="12">
      <c r="A209" s="64"/>
      <c r="B209" s="79" t="s">
        <v>446</v>
      </c>
      <c r="C209" s="21" t="s">
        <v>447</v>
      </c>
      <c r="D209" s="263" t="s">
        <v>112</v>
      </c>
      <c r="E209" s="21" t="s">
        <v>448</v>
      </c>
      <c r="F209" s="261" t="str">
        <f>IF(wskakunin_dairi1_FAX="", "", wskakunin_dairi1_FAX)</f>
        <v/>
      </c>
      <c r="G209" s="22"/>
      <c r="H209" s="22"/>
    </row>
    <row r="210" spans="1:8" ht="12">
      <c r="A210" s="64"/>
      <c r="B210" s="116" t="s">
        <v>449</v>
      </c>
      <c r="D210" s="22"/>
      <c r="E210" s="21" t="s">
        <v>450</v>
      </c>
      <c r="F210" s="261" t="str">
        <f>IF(wskakunin_dairi1_NAME&amp;wskakunin_dairi1_JIMU_NAME="","",IF(wskakunin_dairi1_JIMU_NAME="",wskakunin_dairi1_NAME,wskakunin_dairi1_JIMU_NAME&amp;"　"&amp;wskakunin_dairi1_NAME))</f>
        <v>猫建築事務所　現場　猫</v>
      </c>
      <c r="G210" s="22"/>
      <c r="H210" s="22"/>
    </row>
    <row r="211" spans="1:8" ht="12">
      <c r="A211" s="295"/>
      <c r="B211" s="296"/>
      <c r="D211" s="22"/>
      <c r="E211" s="21" t="s">
        <v>451</v>
      </c>
      <c r="F211" s="261" t="str">
        <f>IF(AND(cst_wskakunin_dairi1_JIMU_NAME="",cst_wsflat35_dairi1_POST=""),cst_wskakunin_dairi1_NAME,IF(cst_wskakunin_dairi1_JIMU_NAME="",cst_wsflat35_dairi1_POST&amp;"　"&amp;cst_wskakunin_dairi1_NAME,IF(cst_wsflat35_dairi1_POST="",cst_wskakunin_dairi1_JIMU_NAME&amp;"　"&amp;cst_wskakunin_dairi1_NAME,cst_wskakunin_dairi1_JIMU_NAME&amp;"　"&amp;cst_wsflat35_dairi1_POST&amp;"　"&amp;cst_wskakunin_dairi1_NAME)))</f>
        <v>猫建築事務所　現場　猫</v>
      </c>
      <c r="G211" s="22"/>
      <c r="H211" s="22"/>
    </row>
    <row r="212" spans="1:8" ht="12">
      <c r="A212" s="65"/>
      <c r="B212" s="117"/>
      <c r="D212" s="37"/>
      <c r="F212" s="22"/>
      <c r="G212" s="22"/>
      <c r="H212" s="22"/>
    </row>
    <row r="213" spans="1:8" ht="12">
      <c r="A213" s="55" t="s">
        <v>452</v>
      </c>
      <c r="B213" s="114"/>
      <c r="G213" s="22"/>
      <c r="H213" s="22"/>
    </row>
    <row r="214" spans="1:8" ht="12">
      <c r="A214" s="115"/>
      <c r="B214" s="79" t="s">
        <v>392</v>
      </c>
      <c r="C214" s="21" t="s">
        <v>453</v>
      </c>
      <c r="D214" s="261" t="s">
        <v>112</v>
      </c>
      <c r="E214" s="21" t="s">
        <v>454</v>
      </c>
      <c r="F214" s="261" t="str">
        <f>IF(wskakunin_dairi2__sikaku="", "", wskakunin_dairi2__sikaku)</f>
        <v/>
      </c>
      <c r="H214" s="22"/>
    </row>
    <row r="215" spans="1:8" ht="12">
      <c r="A215" s="115"/>
      <c r="B215" s="79" t="s">
        <v>396</v>
      </c>
      <c r="C215" s="21" t="s">
        <v>455</v>
      </c>
      <c r="D215" s="261" t="s">
        <v>112</v>
      </c>
      <c r="E215" s="21" t="s">
        <v>456</v>
      </c>
      <c r="F215" s="261" t="str">
        <f>IF(wskakunin_dairi2_SIKAKU__label="","",wskakunin_dairi2_SIKAKU__label)</f>
        <v/>
      </c>
      <c r="H215" s="22"/>
    </row>
    <row r="216" spans="1:8" ht="12">
      <c r="A216" s="115"/>
      <c r="B216" s="79" t="s">
        <v>400</v>
      </c>
      <c r="C216" s="21" t="s">
        <v>457</v>
      </c>
      <c r="D216" s="261" t="s">
        <v>112</v>
      </c>
      <c r="E216" s="21" t="s">
        <v>458</v>
      </c>
      <c r="F216" s="261" t="str">
        <f>IF(wskakunin_dairi2_TOUROKU_KIKAN__label="","",wskakunin_dairi2_TOUROKU_KIKAN__label)</f>
        <v/>
      </c>
      <c r="H216" s="22"/>
    </row>
    <row r="217" spans="1:8" ht="12">
      <c r="A217" s="115"/>
      <c r="B217" s="79" t="s">
        <v>404</v>
      </c>
      <c r="C217" s="21" t="s">
        <v>459</v>
      </c>
      <c r="D217" s="263" t="s">
        <v>112</v>
      </c>
      <c r="E217" s="21" t="s">
        <v>460</v>
      </c>
      <c r="F217" s="261" t="str">
        <f>IF(wskakunin_dairi2_KENTIKUSI_NO="","",wskakunin_dairi2_KENTIKUSI_NO)</f>
        <v/>
      </c>
      <c r="H217" s="22"/>
    </row>
    <row r="218" spans="1:8" ht="12">
      <c r="A218" s="64"/>
      <c r="B218" s="79" t="s">
        <v>194</v>
      </c>
      <c r="C218" s="21" t="s">
        <v>461</v>
      </c>
      <c r="D218" s="261" t="s">
        <v>112</v>
      </c>
      <c r="E218" s="21" t="s">
        <v>462</v>
      </c>
      <c r="F218" s="261" t="str">
        <f>IF(wskakunin_dairi2_NAME="", "", wskakunin_dairi2_NAME)</f>
        <v/>
      </c>
      <c r="H218" s="22"/>
    </row>
    <row r="219" spans="1:8" ht="12">
      <c r="A219" s="64"/>
      <c r="B219" s="79" t="s">
        <v>413</v>
      </c>
      <c r="C219" s="21" t="s">
        <v>463</v>
      </c>
      <c r="D219" s="261" t="s">
        <v>112</v>
      </c>
      <c r="E219" s="21" t="s">
        <v>464</v>
      </c>
      <c r="F219" s="261" t="str">
        <f>IF(wskakunin_dairi2_NAME_KANA="", "", wskakunin_dairi2_NAME_KANA)</f>
        <v/>
      </c>
      <c r="H219" s="22"/>
    </row>
    <row r="220" spans="1:8" ht="12">
      <c r="A220" s="64"/>
      <c r="B220" s="79" t="s">
        <v>416</v>
      </c>
      <c r="C220" s="21" t="s">
        <v>465</v>
      </c>
      <c r="D220" s="261" t="s">
        <v>112</v>
      </c>
      <c r="E220" s="21" t="s">
        <v>466</v>
      </c>
      <c r="F220" s="261" t="str">
        <f>IF(wskakunin_dairi2_JIMU__sikaku="", "", wskakunin_dairi2_JIMU__sikaku)</f>
        <v/>
      </c>
      <c r="H220" s="22"/>
    </row>
    <row r="221" spans="1:8" ht="12">
      <c r="A221" s="64"/>
      <c r="B221" s="79" t="s">
        <v>420</v>
      </c>
      <c r="C221" s="21" t="s">
        <v>467</v>
      </c>
      <c r="D221" s="261" t="s">
        <v>112</v>
      </c>
      <c r="E221" s="21" t="s">
        <v>468</v>
      </c>
      <c r="F221" s="261" t="str">
        <f>IF(wskakunin_dairi2_JIMU_SIKAKU__label="","",wskakunin_dairi2_JIMU_SIKAKU__label)</f>
        <v/>
      </c>
      <c r="H221" s="22"/>
    </row>
    <row r="222" spans="1:8" ht="12">
      <c r="A222" s="64"/>
      <c r="B222" s="79" t="s">
        <v>423</v>
      </c>
      <c r="C222" s="21" t="s">
        <v>469</v>
      </c>
      <c r="D222" s="261" t="s">
        <v>112</v>
      </c>
      <c r="E222" s="21" t="s">
        <v>470</v>
      </c>
      <c r="F222" s="261" t="str">
        <f>IF(wskakunin_dairi2_JIMU_TOUROKU_KIKAN__label="","",wskakunin_dairi2_JIMU_TOUROKU_KIKAN__label)</f>
        <v/>
      </c>
      <c r="H222" s="22"/>
    </row>
    <row r="223" spans="1:8" ht="12">
      <c r="A223" s="64"/>
      <c r="B223" s="79" t="s">
        <v>427</v>
      </c>
      <c r="C223" s="21" t="s">
        <v>471</v>
      </c>
      <c r="D223" s="263" t="s">
        <v>112</v>
      </c>
      <c r="E223" s="21" t="s">
        <v>472</v>
      </c>
      <c r="F223" s="261" t="str">
        <f>IF(wskakunin_dairi2_JIMU_NO="","",wskakunin_dairi2_JIMU_NO)</f>
        <v/>
      </c>
      <c r="H223" s="22"/>
    </row>
    <row r="224" spans="1:8" ht="12">
      <c r="A224" s="64"/>
      <c r="B224" s="79" t="s">
        <v>431</v>
      </c>
      <c r="C224" s="21" t="s">
        <v>473</v>
      </c>
      <c r="D224" s="261" t="s">
        <v>112</v>
      </c>
      <c r="E224" s="21" t="s">
        <v>474</v>
      </c>
      <c r="F224" s="261" t="str">
        <f>IF(wskakunin_dairi2_JIMU_NAME="", "",wskakunin_dairi2_JIMU_NAME)</f>
        <v/>
      </c>
      <c r="H224" s="22"/>
    </row>
    <row r="225" spans="1:8" ht="12">
      <c r="A225" s="64"/>
      <c r="B225" s="79" t="s">
        <v>205</v>
      </c>
      <c r="C225" s="21" t="s">
        <v>475</v>
      </c>
      <c r="D225" s="263" t="s">
        <v>112</v>
      </c>
      <c r="E225" s="21" t="s">
        <v>476</v>
      </c>
      <c r="F225" s="261" t="str">
        <f>IF(wskakunin_dairi2_ZIP="", "", wskakunin_dairi2_ZIP)</f>
        <v/>
      </c>
      <c r="H225" s="22"/>
    </row>
    <row r="226" spans="1:8" ht="12">
      <c r="A226" s="64"/>
      <c r="B226" s="79" t="s">
        <v>438</v>
      </c>
      <c r="C226" s="21" t="s">
        <v>477</v>
      </c>
      <c r="D226" s="261" t="s">
        <v>112</v>
      </c>
      <c r="E226" s="21" t="s">
        <v>478</v>
      </c>
      <c r="F226" s="261" t="str">
        <f>IF(wskakunin_dairi2__address="", "", wskakunin_dairi2__address)</f>
        <v/>
      </c>
      <c r="H226" s="22"/>
    </row>
    <row r="227" spans="1:8" ht="12">
      <c r="A227" s="64"/>
      <c r="B227" s="79" t="s">
        <v>214</v>
      </c>
      <c r="C227" s="21" t="s">
        <v>479</v>
      </c>
      <c r="D227" s="263" t="s">
        <v>112</v>
      </c>
      <c r="E227" s="21" t="s">
        <v>480</v>
      </c>
      <c r="F227" s="261" t="str">
        <f>IF(wskakunin_dairi2_TEL="", "", wskakunin_dairi2_TEL)</f>
        <v/>
      </c>
      <c r="H227" s="22"/>
    </row>
    <row r="228" spans="1:8" ht="12">
      <c r="A228" s="64"/>
      <c r="B228" s="79" t="s">
        <v>446</v>
      </c>
      <c r="C228" s="21" t="s">
        <v>481</v>
      </c>
      <c r="D228" s="263" t="s">
        <v>112</v>
      </c>
      <c r="E228" s="21" t="s">
        <v>482</v>
      </c>
      <c r="F228" s="261" t="str">
        <f>IF(wskakunin_dairi2_FAX="", "", wskakunin_dairi2_FAX)</f>
        <v/>
      </c>
      <c r="H228" s="22"/>
    </row>
    <row r="229" spans="1:8" ht="12">
      <c r="A229" s="64"/>
      <c r="B229" s="116" t="s">
        <v>449</v>
      </c>
      <c r="D229" s="22"/>
      <c r="E229" s="21" t="s">
        <v>483</v>
      </c>
      <c r="F229" s="261" t="str">
        <f>IF(wskakunin_dairi2_NAME&amp;wskakunin_dairi2_JIMU_NAME="","",IF(wskakunin_dairi2_JIMU_NAME="",wskakunin_dairi2_NAME,wskakunin_dairi2_JIMU_NAME&amp;"　"&amp;wskakunin_dairi2_NAME))</f>
        <v/>
      </c>
      <c r="H229" s="22"/>
    </row>
    <row r="230" spans="1:8" ht="12">
      <c r="A230" s="65"/>
      <c r="B230" s="117"/>
      <c r="D230" s="37"/>
      <c r="F230" s="22"/>
      <c r="H230" s="22"/>
    </row>
    <row r="231" spans="1:8" ht="12">
      <c r="A231" s="55" t="s">
        <v>484</v>
      </c>
      <c r="B231" s="114"/>
      <c r="H231" s="22"/>
    </row>
    <row r="232" spans="1:8" ht="12">
      <c r="A232" s="115"/>
      <c r="B232" s="79" t="s">
        <v>392</v>
      </c>
      <c r="C232" s="21" t="s">
        <v>485</v>
      </c>
      <c r="D232" s="261" t="s">
        <v>112</v>
      </c>
      <c r="E232" s="21" t="s">
        <v>486</v>
      </c>
      <c r="F232" s="261" t="str">
        <f>IF(wskakunin_dairi3__sikaku="", "", wskakunin_dairi3__sikaku)</f>
        <v/>
      </c>
      <c r="H232" s="22"/>
    </row>
    <row r="233" spans="1:8" ht="12">
      <c r="A233" s="115"/>
      <c r="B233" s="79" t="s">
        <v>396</v>
      </c>
      <c r="C233" s="21" t="s">
        <v>487</v>
      </c>
      <c r="D233" s="261" t="s">
        <v>112</v>
      </c>
      <c r="E233" s="21" t="s">
        <v>488</v>
      </c>
      <c r="F233" s="261" t="str">
        <f>IF(wskakunin_dairi3_SIKAKU__label="","",wskakunin_dairi3_SIKAKU__label)</f>
        <v/>
      </c>
      <c r="H233" s="22"/>
    </row>
    <row r="234" spans="1:8" ht="12">
      <c r="A234" s="115"/>
      <c r="B234" s="79" t="s">
        <v>400</v>
      </c>
      <c r="C234" s="21" t="s">
        <v>489</v>
      </c>
      <c r="D234" s="261" t="s">
        <v>112</v>
      </c>
      <c r="E234" s="21" t="s">
        <v>490</v>
      </c>
      <c r="F234" s="261" t="str">
        <f>IF(wskakunin_dairi3_TOUROKU_KIKAN__label="","",wskakunin_dairi3_TOUROKU_KIKAN__label)</f>
        <v/>
      </c>
      <c r="H234" s="22"/>
    </row>
    <row r="235" spans="1:8" ht="12">
      <c r="A235" s="115"/>
      <c r="B235" s="79" t="s">
        <v>404</v>
      </c>
      <c r="C235" s="21" t="s">
        <v>491</v>
      </c>
      <c r="D235" s="263" t="s">
        <v>112</v>
      </c>
      <c r="E235" s="21" t="s">
        <v>492</v>
      </c>
      <c r="F235" s="261" t="str">
        <f>IF(wskakunin_dairi3_KENTIKUSI_NO="","",wskakunin_dairi3_KENTIKUSI_NO)</f>
        <v/>
      </c>
      <c r="H235" s="22"/>
    </row>
    <row r="236" spans="1:8" ht="12">
      <c r="A236" s="64"/>
      <c r="B236" s="79" t="s">
        <v>194</v>
      </c>
      <c r="C236" s="21" t="s">
        <v>493</v>
      </c>
      <c r="D236" s="261" t="s">
        <v>112</v>
      </c>
      <c r="E236" s="21" t="s">
        <v>494</v>
      </c>
      <c r="F236" s="261" t="str">
        <f>IF(wskakunin_dairi3_NAME="", "", wskakunin_dairi3_NAME)</f>
        <v/>
      </c>
      <c r="H236" s="22"/>
    </row>
    <row r="237" spans="1:8" ht="12">
      <c r="A237" s="64"/>
      <c r="B237" s="79" t="s">
        <v>413</v>
      </c>
      <c r="C237" s="21" t="s">
        <v>495</v>
      </c>
      <c r="D237" s="261" t="s">
        <v>112</v>
      </c>
      <c r="E237" s="21" t="s">
        <v>496</v>
      </c>
      <c r="F237" s="261" t="str">
        <f>IF(wskakunin_dairi3_NAME_KANA="", "", wskakunin_dairi3_NAME_KANA)</f>
        <v/>
      </c>
      <c r="H237" s="22"/>
    </row>
    <row r="238" spans="1:8" ht="12">
      <c r="A238" s="64"/>
      <c r="B238" s="79" t="s">
        <v>416</v>
      </c>
      <c r="C238" s="21" t="s">
        <v>497</v>
      </c>
      <c r="D238" s="261" t="s">
        <v>112</v>
      </c>
      <c r="E238" s="21" t="s">
        <v>498</v>
      </c>
      <c r="F238" s="261" t="str">
        <f>IF(wskakunin_dairi3_JIMU__sikaku="", "", wskakunin_dairi3_JIMU__sikaku)</f>
        <v/>
      </c>
      <c r="H238" s="22"/>
    </row>
    <row r="239" spans="1:8" ht="12">
      <c r="A239" s="64"/>
      <c r="B239" s="79" t="s">
        <v>420</v>
      </c>
      <c r="C239" s="21" t="s">
        <v>499</v>
      </c>
      <c r="D239" s="261" t="s">
        <v>112</v>
      </c>
      <c r="E239" s="21" t="s">
        <v>500</v>
      </c>
      <c r="F239" s="261" t="str">
        <f>IF(wskakunin_dairi3_JIMU_SIKAKU__label="","",wskakunin_dairi3_JIMU_SIKAKU__label)</f>
        <v/>
      </c>
      <c r="H239" s="22"/>
    </row>
    <row r="240" spans="1:8" ht="12">
      <c r="A240" s="64"/>
      <c r="B240" s="79" t="s">
        <v>423</v>
      </c>
      <c r="C240" s="21" t="s">
        <v>501</v>
      </c>
      <c r="D240" s="261" t="s">
        <v>112</v>
      </c>
      <c r="E240" s="21" t="s">
        <v>502</v>
      </c>
      <c r="F240" s="261" t="str">
        <f>IF(wskakunin_dairi3_JIMU_TOUROKU_KIKAN__label="","",wskakunin_dairi3_JIMU_TOUROKU_KIKAN__label)</f>
        <v/>
      </c>
      <c r="H240" s="22"/>
    </row>
    <row r="241" spans="1:8" ht="12">
      <c r="A241" s="64"/>
      <c r="B241" s="79" t="s">
        <v>427</v>
      </c>
      <c r="C241" s="21" t="s">
        <v>503</v>
      </c>
      <c r="D241" s="263" t="s">
        <v>112</v>
      </c>
      <c r="E241" s="21" t="s">
        <v>504</v>
      </c>
      <c r="F241" s="261" t="str">
        <f>IF(wskakunin_dairi3_JIMU_NO="","",wskakunin_dairi3_JIMU_NO)</f>
        <v/>
      </c>
      <c r="H241" s="22"/>
    </row>
    <row r="242" spans="1:8" ht="12">
      <c r="A242" s="64"/>
      <c r="B242" s="79" t="s">
        <v>431</v>
      </c>
      <c r="C242" s="21" t="s">
        <v>505</v>
      </c>
      <c r="D242" s="261" t="s">
        <v>112</v>
      </c>
      <c r="E242" s="21" t="s">
        <v>506</v>
      </c>
      <c r="F242" s="261" t="str">
        <f>IF(wskakunin_dairi3_JIMU_NAME="", "",wskakunin_dairi3_JIMU_NAME)</f>
        <v/>
      </c>
      <c r="H242" s="22"/>
    </row>
    <row r="243" spans="1:8" ht="12">
      <c r="A243" s="64"/>
      <c r="B243" s="79" t="s">
        <v>205</v>
      </c>
      <c r="C243" s="21" t="s">
        <v>507</v>
      </c>
      <c r="D243" s="263" t="s">
        <v>112</v>
      </c>
      <c r="E243" s="21" t="s">
        <v>508</v>
      </c>
      <c r="F243" s="261" t="str">
        <f>IF(wskakunin_dairi3_ZIP="", "", wskakunin_dairi3_ZIP)</f>
        <v/>
      </c>
      <c r="H243" s="22"/>
    </row>
    <row r="244" spans="1:8" ht="12">
      <c r="A244" s="64"/>
      <c r="B244" s="79" t="s">
        <v>438</v>
      </c>
      <c r="C244" s="21" t="s">
        <v>509</v>
      </c>
      <c r="D244" s="261" t="s">
        <v>112</v>
      </c>
      <c r="E244" s="21" t="s">
        <v>510</v>
      </c>
      <c r="F244" s="261" t="str">
        <f>IF(wskakunin_dairi3__address="", "", wskakunin_dairi3__address)</f>
        <v/>
      </c>
      <c r="H244" s="22"/>
    </row>
    <row r="245" spans="1:8" ht="12">
      <c r="A245" s="64"/>
      <c r="B245" s="79" t="s">
        <v>214</v>
      </c>
      <c r="C245" s="21" t="s">
        <v>511</v>
      </c>
      <c r="D245" s="263" t="s">
        <v>112</v>
      </c>
      <c r="E245" s="21" t="s">
        <v>512</v>
      </c>
      <c r="F245" s="261" t="str">
        <f>IF(wskakunin_dairi3_TEL="", "", wskakunin_dairi3_TEL)</f>
        <v/>
      </c>
      <c r="H245" s="22"/>
    </row>
    <row r="246" spans="1:8" ht="12">
      <c r="A246" s="64"/>
      <c r="B246" s="79" t="s">
        <v>446</v>
      </c>
      <c r="C246" s="21" t="s">
        <v>513</v>
      </c>
      <c r="D246" s="263" t="s">
        <v>112</v>
      </c>
      <c r="E246" s="21" t="s">
        <v>514</v>
      </c>
      <c r="F246" s="261" t="str">
        <f>IF(wskakunin_dairi3_FAX="", "", wskakunin_dairi3_FAX)</f>
        <v/>
      </c>
      <c r="H246" s="22"/>
    </row>
    <row r="247" spans="1:8" ht="12">
      <c r="A247" s="64"/>
      <c r="B247" s="116" t="s">
        <v>449</v>
      </c>
      <c r="D247" s="22"/>
      <c r="E247" s="21" t="s">
        <v>515</v>
      </c>
      <c r="F247" s="261" t="str">
        <f>IF(wskakunin_dairi3_NAME&amp;wskakunin_dairi3_JIMU_NAME="","",IF(wskakunin_dairi3_JIMU_NAME="",wskakunin_dairi3_NAME,wskakunin_dairi3_JIMU_NAME&amp;"　"&amp;wskakunin_dairi3_NAME))</f>
        <v/>
      </c>
      <c r="H247" s="22"/>
    </row>
    <row r="248" spans="1:8" ht="12">
      <c r="A248" s="65"/>
      <c r="B248" s="117"/>
      <c r="D248" s="37"/>
      <c r="F248" s="22"/>
      <c r="H248" s="22"/>
    </row>
    <row r="249" spans="1:8" ht="12">
      <c r="A249" s="55" t="s">
        <v>516</v>
      </c>
      <c r="B249" s="114"/>
      <c r="H249" s="22"/>
    </row>
    <row r="250" spans="1:8" ht="12">
      <c r="A250" s="115"/>
      <c r="B250" s="79" t="s">
        <v>392</v>
      </c>
      <c r="C250" s="21" t="s">
        <v>517</v>
      </c>
      <c r="D250" s="261" t="s">
        <v>112</v>
      </c>
      <c r="E250" s="21" t="s">
        <v>518</v>
      </c>
      <c r="F250" s="261" t="str">
        <f>IF(wskakunin_dairi4__sikaku="", "", wskakunin_dairi4__sikaku)</f>
        <v/>
      </c>
      <c r="H250" s="22"/>
    </row>
    <row r="251" spans="1:8" ht="12">
      <c r="A251" s="115"/>
      <c r="B251" s="79" t="s">
        <v>396</v>
      </c>
      <c r="C251" s="21" t="s">
        <v>519</v>
      </c>
      <c r="D251" s="261" t="s">
        <v>112</v>
      </c>
      <c r="E251" s="21" t="s">
        <v>520</v>
      </c>
      <c r="F251" s="261" t="str">
        <f>IF(wskakunin_dairi4_SIKAKU__label="","",wskakunin_dairi4_SIKAKU__label)</f>
        <v/>
      </c>
      <c r="H251" s="22"/>
    </row>
    <row r="252" spans="1:8" ht="12">
      <c r="A252" s="115"/>
      <c r="B252" s="79" t="s">
        <v>400</v>
      </c>
      <c r="C252" s="21" t="s">
        <v>521</v>
      </c>
      <c r="D252" s="261" t="s">
        <v>112</v>
      </c>
      <c r="E252" s="21" t="s">
        <v>522</v>
      </c>
      <c r="F252" s="261" t="str">
        <f>IF(wskakunin_dairi4_TOUROKU_KIKAN__label="","",wskakunin_dairi4_TOUROKU_KIKAN__label)</f>
        <v/>
      </c>
      <c r="H252" s="22"/>
    </row>
    <row r="253" spans="1:8" ht="12">
      <c r="A253" s="115"/>
      <c r="B253" s="79" t="s">
        <v>404</v>
      </c>
      <c r="C253" s="21" t="s">
        <v>523</v>
      </c>
      <c r="D253" s="263" t="s">
        <v>112</v>
      </c>
      <c r="E253" s="21" t="s">
        <v>524</v>
      </c>
      <c r="F253" s="261" t="str">
        <f>IF(wskakunin_dairi4_KENTIKUSI_NO="","",wskakunin_dairi4_KENTIKUSI_NO)</f>
        <v/>
      </c>
      <c r="H253" s="22"/>
    </row>
    <row r="254" spans="1:8" ht="12">
      <c r="A254" s="64"/>
      <c r="B254" s="79" t="s">
        <v>194</v>
      </c>
      <c r="C254" s="21" t="s">
        <v>525</v>
      </c>
      <c r="D254" s="261" t="s">
        <v>112</v>
      </c>
      <c r="E254" s="21" t="s">
        <v>526</v>
      </c>
      <c r="F254" s="261" t="str">
        <f>IF(wskakunin_dairi4_NAME="", "", wskakunin_dairi4_NAME)</f>
        <v/>
      </c>
      <c r="H254" s="22"/>
    </row>
    <row r="255" spans="1:8" ht="12">
      <c r="A255" s="64"/>
      <c r="B255" s="79" t="s">
        <v>413</v>
      </c>
      <c r="C255" s="21" t="s">
        <v>527</v>
      </c>
      <c r="D255" s="261" t="s">
        <v>112</v>
      </c>
      <c r="E255" s="21" t="s">
        <v>528</v>
      </c>
      <c r="F255" s="261" t="str">
        <f>IF(wskakunin_dairi4_NAME_KANA="", "", wskakunin_dairi4_NAME_KANA)</f>
        <v/>
      </c>
      <c r="H255" s="22"/>
    </row>
    <row r="256" spans="1:8" ht="12">
      <c r="A256" s="64"/>
      <c r="B256" s="79" t="s">
        <v>416</v>
      </c>
      <c r="C256" s="21" t="s">
        <v>529</v>
      </c>
      <c r="D256" s="261" t="s">
        <v>112</v>
      </c>
      <c r="E256" s="21" t="s">
        <v>530</v>
      </c>
      <c r="F256" s="261" t="str">
        <f>IF(wskakunin_dairi4_JIMU__sikaku="", "", wskakunin_dairi4_JIMU__sikaku)</f>
        <v/>
      </c>
      <c r="H256" s="22"/>
    </row>
    <row r="257" spans="1:8" ht="12">
      <c r="A257" s="64"/>
      <c r="B257" s="79" t="s">
        <v>420</v>
      </c>
      <c r="C257" s="21" t="s">
        <v>531</v>
      </c>
      <c r="D257" s="261" t="s">
        <v>112</v>
      </c>
      <c r="E257" s="21" t="s">
        <v>532</v>
      </c>
      <c r="F257" s="261" t="str">
        <f>IF(wskakunin_dairi4_JIMU_SIKAKU__label="","",wskakunin_dairi4_JIMU_SIKAKU__label)</f>
        <v/>
      </c>
      <c r="H257" s="22"/>
    </row>
    <row r="258" spans="1:8" ht="12">
      <c r="A258" s="64"/>
      <c r="B258" s="79" t="s">
        <v>423</v>
      </c>
      <c r="C258" s="21" t="s">
        <v>533</v>
      </c>
      <c r="D258" s="261" t="s">
        <v>112</v>
      </c>
      <c r="E258" s="21" t="s">
        <v>534</v>
      </c>
      <c r="F258" s="261" t="str">
        <f>IF(wskakunin_dairi4_JIMU_TOUROKU_KIKAN__label="","",wskakunin_dairi4_JIMU_TOUROKU_KIKAN__label)</f>
        <v/>
      </c>
      <c r="H258" s="22"/>
    </row>
    <row r="259" spans="1:8" ht="12">
      <c r="A259" s="64"/>
      <c r="B259" s="79" t="s">
        <v>427</v>
      </c>
      <c r="C259" s="21" t="s">
        <v>535</v>
      </c>
      <c r="D259" s="263" t="s">
        <v>112</v>
      </c>
      <c r="E259" s="21" t="s">
        <v>536</v>
      </c>
      <c r="F259" s="261" t="str">
        <f>IF(wskakunin_dairi4_JIMU_NO="","",wskakunin_dairi4_JIMU_NO)</f>
        <v/>
      </c>
      <c r="H259" s="22"/>
    </row>
    <row r="260" spans="1:8" ht="12">
      <c r="A260" s="64"/>
      <c r="B260" s="79" t="s">
        <v>431</v>
      </c>
      <c r="C260" s="21" t="s">
        <v>537</v>
      </c>
      <c r="D260" s="261" t="s">
        <v>112</v>
      </c>
      <c r="E260" s="21" t="s">
        <v>538</v>
      </c>
      <c r="F260" s="261" t="str">
        <f>IF(wskakunin_dairi4_JIMU_NAME="", "",wskakunin_dairi4_JIMU_NAME)</f>
        <v/>
      </c>
      <c r="H260" s="22"/>
    </row>
    <row r="261" spans="1:8" ht="12">
      <c r="A261" s="64"/>
      <c r="B261" s="79" t="s">
        <v>205</v>
      </c>
      <c r="C261" s="21" t="s">
        <v>539</v>
      </c>
      <c r="D261" s="263" t="s">
        <v>112</v>
      </c>
      <c r="E261" s="21" t="s">
        <v>540</v>
      </c>
      <c r="F261" s="261" t="str">
        <f>IF(wskakunin_dairi4_ZIP="", "", wskakunin_dairi4_ZIP)</f>
        <v/>
      </c>
      <c r="H261" s="22"/>
    </row>
    <row r="262" spans="1:8" ht="12">
      <c r="A262" s="64"/>
      <c r="B262" s="79" t="s">
        <v>438</v>
      </c>
      <c r="C262" s="21" t="s">
        <v>541</v>
      </c>
      <c r="D262" s="261" t="s">
        <v>112</v>
      </c>
      <c r="E262" s="21" t="s">
        <v>542</v>
      </c>
      <c r="F262" s="261" t="str">
        <f>IF(wskakunin_dairi4__address="", "", wskakunin_dairi4__address)</f>
        <v/>
      </c>
      <c r="H262" s="22"/>
    </row>
    <row r="263" spans="1:8" ht="12">
      <c r="A263" s="64"/>
      <c r="B263" s="79" t="s">
        <v>214</v>
      </c>
      <c r="C263" s="21" t="s">
        <v>543</v>
      </c>
      <c r="D263" s="263" t="s">
        <v>112</v>
      </c>
      <c r="E263" s="21" t="s">
        <v>544</v>
      </c>
      <c r="F263" s="261" t="str">
        <f>IF(wskakunin_dairi4_TEL="", "", wskakunin_dairi4_TEL)</f>
        <v/>
      </c>
      <c r="H263" s="22"/>
    </row>
    <row r="264" spans="1:8" ht="12">
      <c r="A264" s="64"/>
      <c r="B264" s="79" t="s">
        <v>446</v>
      </c>
      <c r="C264" s="21" t="s">
        <v>545</v>
      </c>
      <c r="D264" s="263" t="s">
        <v>112</v>
      </c>
      <c r="E264" s="21" t="s">
        <v>546</v>
      </c>
      <c r="F264" s="261" t="str">
        <f>IF(wskakunin_dairi4_FAX="", "", wskakunin_dairi4_FAX)</f>
        <v/>
      </c>
      <c r="H264" s="22"/>
    </row>
    <row r="265" spans="1:8" ht="12">
      <c r="A265" s="64"/>
      <c r="B265" s="116" t="s">
        <v>449</v>
      </c>
      <c r="D265" s="22"/>
      <c r="E265" s="21" t="s">
        <v>547</v>
      </c>
      <c r="F265" s="261" t="str">
        <f>IF(wskakunin_dairi4_NAME&amp;wskakunin_dairi4_JIMU_NAME="","",IF(wskakunin_dairi4_JIMU_NAME="",wskakunin_dairi4_NAME,wskakunin_dairi4_JIMU_NAME&amp;"　"&amp;wskakunin_dairi4_NAME))</f>
        <v/>
      </c>
      <c r="H265" s="22"/>
    </row>
    <row r="266" spans="1:8" ht="12">
      <c r="A266" s="65"/>
      <c r="B266" s="117"/>
      <c r="D266" s="37"/>
      <c r="F266" s="22"/>
      <c r="H266" s="22"/>
    </row>
    <row r="267" spans="1:8" ht="12">
      <c r="A267" s="55" t="s">
        <v>548</v>
      </c>
      <c r="B267" s="114"/>
      <c r="H267" s="22"/>
    </row>
    <row r="268" spans="1:8" ht="12">
      <c r="A268" s="115"/>
      <c r="B268" s="79" t="s">
        <v>392</v>
      </c>
      <c r="C268" s="21" t="s">
        <v>549</v>
      </c>
      <c r="D268" s="261" t="s">
        <v>112</v>
      </c>
      <c r="E268" s="21" t="s">
        <v>550</v>
      </c>
      <c r="F268" s="261" t="str">
        <f>IF(wskakunin_dairi5__sikaku="", "", wskakunin_dairi5__sikaku)</f>
        <v/>
      </c>
      <c r="H268" s="22"/>
    </row>
    <row r="269" spans="1:8" ht="12">
      <c r="A269" s="115"/>
      <c r="B269" s="79" t="s">
        <v>396</v>
      </c>
      <c r="C269" s="21" t="s">
        <v>551</v>
      </c>
      <c r="D269" s="261" t="s">
        <v>112</v>
      </c>
      <c r="E269" s="21" t="s">
        <v>552</v>
      </c>
      <c r="F269" s="261" t="str">
        <f>IF(wskakunin_dairi5_SIKAKU__label="","",wskakunin_dairi5_SIKAKU__label)</f>
        <v/>
      </c>
      <c r="H269" s="22"/>
    </row>
    <row r="270" spans="1:8" ht="12">
      <c r="A270" s="115"/>
      <c r="B270" s="79" t="s">
        <v>400</v>
      </c>
      <c r="C270" s="21" t="s">
        <v>553</v>
      </c>
      <c r="D270" s="261" t="s">
        <v>112</v>
      </c>
      <c r="E270" s="21" t="s">
        <v>554</v>
      </c>
      <c r="F270" s="261" t="str">
        <f>IF(wskakunin_dairi5_TOUROKU_KIKAN__label="","",wskakunin_dairi5_TOUROKU_KIKAN__label)</f>
        <v/>
      </c>
      <c r="H270" s="22"/>
    </row>
    <row r="271" spans="1:8" ht="12">
      <c r="A271" s="115"/>
      <c r="B271" s="79" t="s">
        <v>404</v>
      </c>
      <c r="C271" s="21" t="s">
        <v>555</v>
      </c>
      <c r="D271" s="263" t="s">
        <v>112</v>
      </c>
      <c r="E271" s="21" t="s">
        <v>556</v>
      </c>
      <c r="F271" s="261" t="str">
        <f>IF(wskakunin_dairi5_KENTIKUSI_NO="","",wskakunin_dairi5_KENTIKUSI_NO)</f>
        <v/>
      </c>
      <c r="H271" s="22"/>
    </row>
    <row r="272" spans="1:8" ht="12">
      <c r="A272" s="64"/>
      <c r="B272" s="79" t="s">
        <v>194</v>
      </c>
      <c r="C272" s="21" t="s">
        <v>557</v>
      </c>
      <c r="D272" s="261" t="s">
        <v>112</v>
      </c>
      <c r="E272" s="21" t="s">
        <v>558</v>
      </c>
      <c r="F272" s="261" t="str">
        <f>IF(wskakunin_dairi5_NAME="", "", wskakunin_dairi5_NAME)</f>
        <v/>
      </c>
      <c r="H272" s="22"/>
    </row>
    <row r="273" spans="1:8" ht="12">
      <c r="A273" s="64"/>
      <c r="B273" s="79" t="s">
        <v>413</v>
      </c>
      <c r="C273" s="21" t="s">
        <v>559</v>
      </c>
      <c r="D273" s="261" t="s">
        <v>112</v>
      </c>
      <c r="E273" s="21" t="s">
        <v>560</v>
      </c>
      <c r="F273" s="261" t="str">
        <f>IF(wskakunin_dairi5_NAME_KANA="", "", wskakunin_dairi5_NAME_KANA)</f>
        <v/>
      </c>
      <c r="H273" s="22"/>
    </row>
    <row r="274" spans="1:8" ht="12">
      <c r="A274" s="64"/>
      <c r="B274" s="79" t="s">
        <v>416</v>
      </c>
      <c r="C274" s="21" t="s">
        <v>561</v>
      </c>
      <c r="D274" s="261" t="s">
        <v>112</v>
      </c>
      <c r="E274" s="21" t="s">
        <v>562</v>
      </c>
      <c r="F274" s="261" t="str">
        <f>IF(wskakunin_dairi5_JIMU__sikaku="", "", wskakunin_dairi5_JIMU__sikaku)</f>
        <v/>
      </c>
      <c r="H274" s="22"/>
    </row>
    <row r="275" spans="1:8" ht="12">
      <c r="A275" s="64"/>
      <c r="B275" s="79" t="s">
        <v>420</v>
      </c>
      <c r="C275" s="21" t="s">
        <v>563</v>
      </c>
      <c r="D275" s="261" t="s">
        <v>112</v>
      </c>
      <c r="E275" s="21" t="s">
        <v>564</v>
      </c>
      <c r="F275" s="261" t="str">
        <f>IF(wskakunin_dairi5_JIMU_SIKAKU__label="","",wskakunin_dairi5_JIMU_SIKAKU__label)</f>
        <v/>
      </c>
      <c r="H275" s="22"/>
    </row>
    <row r="276" spans="1:8" ht="12">
      <c r="A276" s="64"/>
      <c r="B276" s="79" t="s">
        <v>423</v>
      </c>
      <c r="C276" s="21" t="s">
        <v>565</v>
      </c>
      <c r="D276" s="261" t="s">
        <v>112</v>
      </c>
      <c r="E276" s="21" t="s">
        <v>566</v>
      </c>
      <c r="F276" s="261" t="str">
        <f>IF(wskakunin_dairi5_JIMU_TOUROKU_KIKAN__label="","",wskakunin_dairi5_JIMU_TOUROKU_KIKAN__label)</f>
        <v/>
      </c>
      <c r="H276" s="22"/>
    </row>
    <row r="277" spans="1:8" ht="12">
      <c r="A277" s="64"/>
      <c r="B277" s="79" t="s">
        <v>427</v>
      </c>
      <c r="C277" s="21" t="s">
        <v>567</v>
      </c>
      <c r="D277" s="263" t="s">
        <v>112</v>
      </c>
      <c r="E277" s="21" t="s">
        <v>568</v>
      </c>
      <c r="F277" s="261" t="str">
        <f>IF(wskakunin_dairi5_JIMU_NO="","",wskakunin_dairi5_JIMU_NO)</f>
        <v/>
      </c>
      <c r="H277" s="22"/>
    </row>
    <row r="278" spans="1:8" ht="12">
      <c r="A278" s="64"/>
      <c r="B278" s="79" t="s">
        <v>431</v>
      </c>
      <c r="C278" s="21" t="s">
        <v>569</v>
      </c>
      <c r="D278" s="261" t="s">
        <v>112</v>
      </c>
      <c r="E278" s="21" t="s">
        <v>570</v>
      </c>
      <c r="F278" s="261" t="str">
        <f>IF(wskakunin_dairi5_JIMU_NAME="", "",wskakunin_dairi5_JIMU_NAME)</f>
        <v/>
      </c>
      <c r="H278" s="22"/>
    </row>
    <row r="279" spans="1:8" ht="12">
      <c r="A279" s="64"/>
      <c r="B279" s="79" t="s">
        <v>205</v>
      </c>
      <c r="C279" s="21" t="s">
        <v>571</v>
      </c>
      <c r="D279" s="263" t="s">
        <v>112</v>
      </c>
      <c r="E279" s="21" t="s">
        <v>572</v>
      </c>
      <c r="F279" s="261" t="str">
        <f>IF(wskakunin_dairi5_ZIP="", "", wskakunin_dairi5_ZIP)</f>
        <v/>
      </c>
      <c r="H279" s="22"/>
    </row>
    <row r="280" spans="1:8" ht="12">
      <c r="A280" s="64"/>
      <c r="B280" s="79" t="s">
        <v>438</v>
      </c>
      <c r="C280" s="21" t="s">
        <v>573</v>
      </c>
      <c r="D280" s="261" t="s">
        <v>112</v>
      </c>
      <c r="E280" s="21" t="s">
        <v>574</v>
      </c>
      <c r="F280" s="261" t="str">
        <f>IF(wskakunin_dairi5__address="", "", wskakunin_dairi5__address)</f>
        <v/>
      </c>
      <c r="H280" s="22"/>
    </row>
    <row r="281" spans="1:8" ht="12">
      <c r="A281" s="64"/>
      <c r="B281" s="79" t="s">
        <v>214</v>
      </c>
      <c r="C281" s="21" t="s">
        <v>575</v>
      </c>
      <c r="D281" s="263" t="s">
        <v>112</v>
      </c>
      <c r="E281" s="21" t="s">
        <v>576</v>
      </c>
      <c r="F281" s="261" t="str">
        <f>IF(wskakunin_dairi5_TEL="", "", wskakunin_dairi5_TEL)</f>
        <v/>
      </c>
      <c r="H281" s="22"/>
    </row>
    <row r="282" spans="1:8" ht="12">
      <c r="A282" s="64"/>
      <c r="B282" s="79" t="s">
        <v>446</v>
      </c>
      <c r="C282" s="21" t="s">
        <v>577</v>
      </c>
      <c r="D282" s="263" t="s">
        <v>112</v>
      </c>
      <c r="E282" s="21" t="s">
        <v>578</v>
      </c>
      <c r="F282" s="261" t="str">
        <f>IF(wskakunin_dairi5_FAX="", "", wskakunin_dairi5_FAX)</f>
        <v/>
      </c>
      <c r="H282" s="22"/>
    </row>
    <row r="283" spans="1:8" ht="12">
      <c r="A283" s="64"/>
      <c r="B283" s="116" t="s">
        <v>449</v>
      </c>
      <c r="C283" s="22"/>
      <c r="D283" s="22"/>
      <c r="E283" s="21" t="s">
        <v>579</v>
      </c>
      <c r="F283" s="261" t="str">
        <f>IF(wskakunin_dairi5_NAME&amp;wskakunin_dairi5_JIMU_NAME="","",IF(wskakunin_dairi5_JIMU_NAME="",wskakunin_dairi5_NAME,wskakunin_dairi5_JIMU_NAME&amp;"　"&amp;wskakunin_dairi5_NAME))</f>
        <v/>
      </c>
      <c r="H283" s="22"/>
    </row>
    <row r="284" spans="1:8" ht="12">
      <c r="A284" s="65"/>
      <c r="B284" s="117"/>
      <c r="D284" s="37"/>
      <c r="F284" s="22"/>
      <c r="G284" s="22"/>
      <c r="H284" s="22"/>
    </row>
    <row r="285" spans="1:8" ht="12">
      <c r="A285" s="8" t="s">
        <v>580</v>
      </c>
      <c r="B285" s="52"/>
      <c r="G285" s="22"/>
      <c r="H285" s="22"/>
    </row>
    <row r="286" spans="1:8" ht="12">
      <c r="A286" s="30"/>
      <c r="B286" s="80" t="s">
        <v>392</v>
      </c>
      <c r="C286" s="21" t="s">
        <v>581</v>
      </c>
      <c r="D286" s="162" t="s">
        <v>394</v>
      </c>
      <c r="E286" s="21" t="s">
        <v>582</v>
      </c>
      <c r="F286" s="162" t="str">
        <f>IF(wskakunin_sekkei1__sikaku="", "", wskakunin_sekkei1__sikaku)</f>
        <v>一級建築士大臣登録第001100号</v>
      </c>
      <c r="G286" s="22"/>
      <c r="H286" s="22"/>
    </row>
    <row r="287" spans="1:8" ht="12">
      <c r="A287" s="35"/>
      <c r="B287" s="80" t="s">
        <v>396</v>
      </c>
      <c r="C287" s="21" t="s">
        <v>583</v>
      </c>
      <c r="D287" s="162" t="s">
        <v>398</v>
      </c>
      <c r="E287" s="21" t="s">
        <v>584</v>
      </c>
      <c r="F287" s="162" t="str">
        <f>IF(wskakunin_sekkei1_SIKAKU__label="","",wskakunin_sekkei1_SIKAKU__label)</f>
        <v>一級</v>
      </c>
      <c r="G287" s="22"/>
      <c r="H287" s="22"/>
    </row>
    <row r="288" spans="1:8" ht="12">
      <c r="A288" s="35"/>
      <c r="B288" s="80" t="s">
        <v>400</v>
      </c>
      <c r="C288" s="21" t="s">
        <v>585</v>
      </c>
      <c r="D288" s="162" t="s">
        <v>402</v>
      </c>
      <c r="E288" s="21" t="s">
        <v>586</v>
      </c>
      <c r="F288" s="162" t="str">
        <f>IF(wskakunin_sekkei1_TOUROKU_KIKAN__label="","",wskakunin_sekkei1_TOUROKU_KIKAN__label)</f>
        <v>大臣</v>
      </c>
      <c r="G288" s="22"/>
      <c r="H288" s="22"/>
    </row>
    <row r="289" spans="1:8" ht="12">
      <c r="A289" s="35"/>
      <c r="B289" s="80" t="s">
        <v>404</v>
      </c>
      <c r="C289" s="21" t="s">
        <v>587</v>
      </c>
      <c r="D289" s="255" t="s">
        <v>406</v>
      </c>
      <c r="E289" s="21" t="s">
        <v>588</v>
      </c>
      <c r="F289" s="162" t="str">
        <f>IF(wskakunin_sekkei1_KENTIKUSI_NO="","",wskakunin_sekkei1_KENTIKUSI_NO)</f>
        <v>001100</v>
      </c>
      <c r="G289" s="22"/>
      <c r="H289" s="22"/>
    </row>
    <row r="290" spans="1:8" ht="12">
      <c r="A290" s="47"/>
      <c r="B290" s="80" t="s">
        <v>194</v>
      </c>
      <c r="C290" s="21" t="s">
        <v>589</v>
      </c>
      <c r="D290" s="162" t="s">
        <v>411</v>
      </c>
      <c r="E290" s="21" t="s">
        <v>590</v>
      </c>
      <c r="F290" s="162" t="str">
        <f>IF(wskakunin_sekkei1_NAME="", "", wskakunin_sekkei1_NAME)</f>
        <v>現場　猫</v>
      </c>
      <c r="G290" s="22"/>
      <c r="H290" s="22"/>
    </row>
    <row r="291" spans="1:8" ht="12">
      <c r="A291" s="47"/>
      <c r="B291" s="80" t="s">
        <v>416</v>
      </c>
      <c r="C291" s="21" t="s">
        <v>591</v>
      </c>
      <c r="D291" s="162" t="s">
        <v>418</v>
      </c>
      <c r="E291" s="21" t="s">
        <v>592</v>
      </c>
      <c r="F291" s="162" t="str">
        <f>IF(wskakunin_sekkei1_JIMU__sikaku="", "", wskakunin_sekkei1_JIMU__sikaku)</f>
        <v>一級建築士事務所京都府知事登録第03A00000号</v>
      </c>
      <c r="G291" s="22"/>
      <c r="H291" s="22"/>
    </row>
    <row r="292" spans="1:8" ht="12">
      <c r="A292" s="47"/>
      <c r="B292" s="80" t="s">
        <v>420</v>
      </c>
      <c r="C292" s="21" t="s">
        <v>593</v>
      </c>
      <c r="D292" s="162" t="s">
        <v>398</v>
      </c>
      <c r="E292" s="21" t="s">
        <v>594</v>
      </c>
      <c r="F292" s="162" t="str">
        <f>IF(wskakunin_sekkei1_JIMU_SIKAKU__label="","",wskakunin_sekkei1_JIMU_SIKAKU__label)</f>
        <v>一級</v>
      </c>
      <c r="G292" s="22"/>
      <c r="H292" s="22"/>
    </row>
    <row r="293" spans="1:8" ht="12">
      <c r="A293" s="47"/>
      <c r="B293" s="80" t="s">
        <v>423</v>
      </c>
      <c r="C293" s="21" t="s">
        <v>595</v>
      </c>
      <c r="D293" s="162" t="s">
        <v>425</v>
      </c>
      <c r="E293" s="21" t="s">
        <v>596</v>
      </c>
      <c r="F293" s="162" t="str">
        <f>IF(wskakunin_sekkei1_JIMU_TOUROKU_KIKAN__label="","",wskakunin_sekkei1_JIMU_TOUROKU_KIKAN__label)</f>
        <v>京都府</v>
      </c>
      <c r="G293" s="22"/>
      <c r="H293" s="22"/>
    </row>
    <row r="294" spans="1:8" ht="12">
      <c r="A294" s="47"/>
      <c r="B294" s="80" t="s">
        <v>427</v>
      </c>
      <c r="C294" s="21" t="s">
        <v>597</v>
      </c>
      <c r="D294" s="255" t="s">
        <v>429</v>
      </c>
      <c r="E294" s="21" t="s">
        <v>598</v>
      </c>
      <c r="F294" s="162" t="str">
        <f>IF(wskakunin_sekkei1_JIMU_NO="","",wskakunin_sekkei1_JIMU_NO)</f>
        <v>03A00000</v>
      </c>
      <c r="G294" s="22"/>
      <c r="H294" s="22"/>
    </row>
    <row r="295" spans="1:8" ht="12">
      <c r="A295" s="63"/>
      <c r="B295" s="80" t="s">
        <v>431</v>
      </c>
      <c r="C295" s="21" t="s">
        <v>599</v>
      </c>
      <c r="D295" s="162" t="s">
        <v>433</v>
      </c>
      <c r="E295" s="21" t="s">
        <v>600</v>
      </c>
      <c r="F295" s="162" t="str">
        <f>IF(wskakunin_sekkei1_JIMU_NAME="", "", wskakunin_sekkei1_JIMU_NAME)</f>
        <v>猫建築事務所</v>
      </c>
      <c r="G295" s="22"/>
      <c r="H295" s="22"/>
    </row>
    <row r="296" spans="1:8" ht="12">
      <c r="A296" s="47"/>
      <c r="B296" s="80" t="s">
        <v>601</v>
      </c>
      <c r="D296" s="37"/>
      <c r="E296" s="21" t="s">
        <v>602</v>
      </c>
      <c r="F296" s="162" t="str">
        <f>wskakunin_sekkei1_JIMU_NAME&amp;" "&amp;wskakunin_sekkei1_NAME</f>
        <v>猫建築事務所 現場　猫</v>
      </c>
      <c r="G296" s="22"/>
      <c r="H296" s="22"/>
    </row>
    <row r="297" spans="1:8" ht="12">
      <c r="A297" s="63"/>
      <c r="B297" s="80" t="s">
        <v>205</v>
      </c>
      <c r="C297" s="21" t="s">
        <v>603</v>
      </c>
      <c r="D297" s="255" t="s">
        <v>436</v>
      </c>
      <c r="E297" s="21" t="s">
        <v>604</v>
      </c>
      <c r="F297" s="162" t="str">
        <f>IF(wskakunin_sekkei1_ZIP="", "", wskakunin_sekkei1_ZIP)</f>
        <v>604-0001</v>
      </c>
      <c r="G297" s="22"/>
      <c r="H297" s="22" t="s">
        <v>605</v>
      </c>
    </row>
    <row r="298" spans="1:8" ht="12">
      <c r="A298" s="63"/>
      <c r="B298" s="80" t="s">
        <v>438</v>
      </c>
      <c r="C298" s="21" t="s">
        <v>606</v>
      </c>
      <c r="D298" s="162" t="s">
        <v>440</v>
      </c>
      <c r="E298" s="21" t="s">
        <v>607</v>
      </c>
      <c r="F298" s="162" t="str">
        <f>IF(wskakunin_sekkei1__address="", "", wskakunin_sekkei1__address)</f>
        <v>京都府京都市中京区道場町1</v>
      </c>
      <c r="G298" s="22"/>
      <c r="H298" s="22"/>
    </row>
    <row r="299" spans="1:8" ht="12">
      <c r="A299" s="63"/>
      <c r="B299" s="80" t="s">
        <v>214</v>
      </c>
      <c r="C299" s="21" t="s">
        <v>608</v>
      </c>
      <c r="D299" s="255" t="s">
        <v>443</v>
      </c>
      <c r="E299" s="21" t="s">
        <v>609</v>
      </c>
      <c r="F299" s="162" t="str">
        <f>IF(wskakunin_sekkei1_TEL="", "", wskakunin_sekkei1_TEL)</f>
        <v>075-000-0000</v>
      </c>
      <c r="G299" s="22"/>
      <c r="H299" s="22"/>
    </row>
    <row r="300" spans="1:8" ht="12">
      <c r="A300" s="63"/>
      <c r="B300" s="80" t="s">
        <v>610</v>
      </c>
      <c r="C300" s="21" t="s">
        <v>611</v>
      </c>
      <c r="D300" s="255" t="s">
        <v>612</v>
      </c>
      <c r="E300" s="21" t="s">
        <v>613</v>
      </c>
      <c r="F300" s="162" t="str">
        <f>IF(wskakunin_sekkei1_DOC="","",wskakunin_sekkei1_DOC)</f>
        <v>全ての設計図書</v>
      </c>
      <c r="G300" s="22"/>
      <c r="H300" s="22"/>
    </row>
    <row r="301" spans="1:8" ht="12">
      <c r="A301" s="63"/>
      <c r="B301" s="88"/>
      <c r="G301" s="22"/>
      <c r="H301" s="22"/>
    </row>
    <row r="302" spans="1:8" ht="12">
      <c r="A302" s="8" t="s">
        <v>614</v>
      </c>
      <c r="B302" s="52"/>
      <c r="G302" s="22"/>
      <c r="H302" s="22"/>
    </row>
    <row r="303" spans="1:8" ht="12">
      <c r="A303" s="30"/>
      <c r="B303" s="80" t="s">
        <v>392</v>
      </c>
      <c r="C303" s="21" t="s">
        <v>615</v>
      </c>
      <c r="D303" s="162" t="s">
        <v>112</v>
      </c>
      <c r="E303" s="21" t="s">
        <v>616</v>
      </c>
      <c r="F303" s="162" t="str">
        <f>IF(wskakunin_sekkei2__sikaku="", "", wskakunin_sekkei2__sikaku)</f>
        <v/>
      </c>
      <c r="G303" s="22"/>
      <c r="H303" s="22"/>
    </row>
    <row r="304" spans="1:8" ht="12">
      <c r="A304" s="35"/>
      <c r="B304" s="80" t="s">
        <v>396</v>
      </c>
      <c r="C304" s="21" t="s">
        <v>617</v>
      </c>
      <c r="D304" s="162" t="s">
        <v>112</v>
      </c>
      <c r="E304" s="21" t="s">
        <v>618</v>
      </c>
      <c r="F304" s="162" t="str">
        <f>IF(wskakunin_sekkei2_SIKAKU__label="","",wskakunin_sekkei2_SIKAKU__label)</f>
        <v/>
      </c>
      <c r="G304" s="22"/>
      <c r="H304" s="22"/>
    </row>
    <row r="305" spans="1:8" ht="12">
      <c r="A305" s="35"/>
      <c r="B305" s="80" t="s">
        <v>400</v>
      </c>
      <c r="C305" s="21" t="s">
        <v>619</v>
      </c>
      <c r="D305" s="162" t="s">
        <v>112</v>
      </c>
      <c r="E305" s="21" t="s">
        <v>620</v>
      </c>
      <c r="F305" s="162" t="str">
        <f>IF(wskakunin_sekkei2_TOUROKU_KIKAN__label="","",wskakunin_sekkei2_TOUROKU_KIKAN__label)</f>
        <v/>
      </c>
      <c r="G305" s="22"/>
      <c r="H305" s="22"/>
    </row>
    <row r="306" spans="1:8" ht="12">
      <c r="A306" s="35"/>
      <c r="B306" s="80" t="s">
        <v>404</v>
      </c>
      <c r="C306" s="21" t="s">
        <v>621</v>
      </c>
      <c r="D306" s="255" t="s">
        <v>112</v>
      </c>
      <c r="E306" s="21" t="s">
        <v>622</v>
      </c>
      <c r="F306" s="162" t="str">
        <f>IF(wskakunin_sekkei2_KENTIKUSI_NO="","",wskakunin_sekkei2_KENTIKUSI_NO)</f>
        <v/>
      </c>
      <c r="G306" s="22"/>
      <c r="H306" s="22"/>
    </row>
    <row r="307" spans="1:8" ht="12">
      <c r="A307" s="47"/>
      <c r="B307" s="80" t="s">
        <v>194</v>
      </c>
      <c r="C307" s="21" t="s">
        <v>623</v>
      </c>
      <c r="D307" s="162" t="s">
        <v>112</v>
      </c>
      <c r="E307" s="21" t="s">
        <v>624</v>
      </c>
      <c r="F307" s="162" t="str">
        <f>IF(wskakunin_sekkei2_NAME="", "", wskakunin_sekkei2_NAME)</f>
        <v/>
      </c>
      <c r="G307" s="22"/>
      <c r="H307" s="22"/>
    </row>
    <row r="308" spans="1:8" ht="12">
      <c r="A308" s="47"/>
      <c r="B308" s="80" t="s">
        <v>416</v>
      </c>
      <c r="C308" s="21" t="s">
        <v>625</v>
      </c>
      <c r="D308" s="162" t="s">
        <v>112</v>
      </c>
      <c r="E308" s="21" t="s">
        <v>626</v>
      </c>
      <c r="F308" s="162" t="str">
        <f>IF(wskakunin_sekkei2_JIMU__sikaku="", "", wskakunin_sekkei2_JIMU__sikaku)</f>
        <v/>
      </c>
      <c r="G308" s="22"/>
      <c r="H308" s="22"/>
    </row>
    <row r="309" spans="1:8" ht="12">
      <c r="A309" s="47"/>
      <c r="B309" s="80" t="s">
        <v>420</v>
      </c>
      <c r="C309" s="21" t="s">
        <v>627</v>
      </c>
      <c r="D309" s="162" t="s">
        <v>112</v>
      </c>
      <c r="E309" s="21" t="s">
        <v>628</v>
      </c>
      <c r="F309" s="162" t="str">
        <f>IF(wskakunin_sekkei2_JIMU_SIKAKU__label="","",wskakunin_sekkei2_JIMU_SIKAKU__label)</f>
        <v/>
      </c>
      <c r="G309" s="22"/>
      <c r="H309" s="22"/>
    </row>
    <row r="310" spans="1:8" ht="12">
      <c r="A310" s="47"/>
      <c r="B310" s="80" t="s">
        <v>423</v>
      </c>
      <c r="C310" s="21" t="s">
        <v>629</v>
      </c>
      <c r="D310" s="162" t="s">
        <v>112</v>
      </c>
      <c r="E310" s="21" t="s">
        <v>630</v>
      </c>
      <c r="F310" s="162" t="str">
        <f>IF(wskakunin_sekkei2_JIMU_TOUROKU_KIKAN__label="","",wskakunin_sekkei2_JIMU_TOUROKU_KIKAN__label)</f>
        <v/>
      </c>
      <c r="G310" s="22"/>
      <c r="H310" s="22"/>
    </row>
    <row r="311" spans="1:8" ht="12">
      <c r="A311" s="47"/>
      <c r="B311" s="80" t="s">
        <v>427</v>
      </c>
      <c r="C311" s="21" t="s">
        <v>631</v>
      </c>
      <c r="D311" s="255" t="s">
        <v>112</v>
      </c>
      <c r="E311" s="21" t="s">
        <v>632</v>
      </c>
      <c r="F311" s="162" t="str">
        <f>IF(wskakunin_sekkei2_JIMU_NO="","",wskakunin_sekkei2_JIMU_NO)</f>
        <v/>
      </c>
      <c r="G311" s="22"/>
      <c r="H311" s="22"/>
    </row>
    <row r="312" spans="1:8" ht="12">
      <c r="A312" s="63"/>
      <c r="B312" s="80" t="s">
        <v>431</v>
      </c>
      <c r="C312" s="21" t="s">
        <v>633</v>
      </c>
      <c r="D312" s="162" t="s">
        <v>112</v>
      </c>
      <c r="E312" s="21" t="s">
        <v>634</v>
      </c>
      <c r="F312" s="162" t="str">
        <f>IF(wskakunin_sekkei2_JIMU_NAME="", "", wskakunin_sekkei2_JIMU_NAME)</f>
        <v/>
      </c>
      <c r="G312" s="22"/>
      <c r="H312" s="22"/>
    </row>
    <row r="313" spans="1:8" ht="12">
      <c r="A313" s="47"/>
      <c r="B313" s="80" t="s">
        <v>601</v>
      </c>
      <c r="D313" s="37"/>
      <c r="E313" s="21" t="s">
        <v>635</v>
      </c>
      <c r="F313" s="162" t="str">
        <f>wskakunin_sekkei2_JIMU_NAME&amp;" "&amp;wskakunin_sekkei2_NAME</f>
        <v xml:space="preserve"> </v>
      </c>
      <c r="G313" s="22"/>
      <c r="H313" s="22"/>
    </row>
    <row r="314" spans="1:8" ht="12">
      <c r="A314" s="63"/>
      <c r="B314" s="80" t="s">
        <v>205</v>
      </c>
      <c r="C314" s="21" t="s">
        <v>636</v>
      </c>
      <c r="D314" s="255" t="s">
        <v>112</v>
      </c>
      <c r="E314" s="21" t="s">
        <v>637</v>
      </c>
      <c r="F314" s="162" t="str">
        <f>IF(wskakunin_sekkei2_ZIP="", "", wskakunin_sekkei2_ZIP)</f>
        <v/>
      </c>
      <c r="G314" s="22"/>
      <c r="H314" s="22" t="s">
        <v>605</v>
      </c>
    </row>
    <row r="315" spans="1:8" ht="12">
      <c r="A315" s="63"/>
      <c r="B315" s="80" t="s">
        <v>438</v>
      </c>
      <c r="C315" s="21" t="s">
        <v>638</v>
      </c>
      <c r="D315" s="162" t="s">
        <v>112</v>
      </c>
      <c r="E315" s="21" t="s">
        <v>639</v>
      </c>
      <c r="F315" s="162" t="str">
        <f>IF(wskakunin_sekkei2__address="", "", wskakunin_sekkei2__address)</f>
        <v/>
      </c>
      <c r="G315" s="22"/>
      <c r="H315" s="22"/>
    </row>
    <row r="316" spans="1:8" ht="12">
      <c r="A316" s="63"/>
      <c r="B316" s="80" t="s">
        <v>214</v>
      </c>
      <c r="C316" s="21" t="s">
        <v>640</v>
      </c>
      <c r="D316" s="255" t="s">
        <v>112</v>
      </c>
      <c r="E316" s="21" t="s">
        <v>641</v>
      </c>
      <c r="F316" s="162" t="str">
        <f>IF(wskakunin_sekkei2_TEL="", "", wskakunin_sekkei2_TEL)</f>
        <v/>
      </c>
      <c r="G316" s="22"/>
      <c r="H316" s="22"/>
    </row>
    <row r="317" spans="1:8" ht="12">
      <c r="A317" s="63"/>
      <c r="B317" s="80" t="s">
        <v>610</v>
      </c>
      <c r="C317" s="21" t="s">
        <v>642</v>
      </c>
      <c r="D317" s="255" t="s">
        <v>112</v>
      </c>
      <c r="E317" s="21" t="s">
        <v>643</v>
      </c>
      <c r="F317" s="162" t="str">
        <f>IF(wskakunin_sekkei2_DOC="","",wskakunin_sekkei2_DOC)</f>
        <v/>
      </c>
      <c r="G317" s="22"/>
      <c r="H317" s="22"/>
    </row>
    <row r="318" spans="1:8" ht="12">
      <c r="A318" s="63"/>
      <c r="B318" s="88"/>
      <c r="G318" s="22"/>
      <c r="H318" s="22"/>
    </row>
    <row r="319" spans="1:8" ht="12">
      <c r="A319" s="8" t="s">
        <v>644</v>
      </c>
      <c r="B319" s="52"/>
      <c r="G319" s="22"/>
      <c r="H319" s="22"/>
    </row>
    <row r="320" spans="1:8" ht="12">
      <c r="A320" s="30"/>
      <c r="B320" s="80" t="s">
        <v>392</v>
      </c>
      <c r="C320" s="21" t="s">
        <v>645</v>
      </c>
      <c r="D320" s="162" t="s">
        <v>112</v>
      </c>
      <c r="E320" s="21" t="s">
        <v>646</v>
      </c>
      <c r="F320" s="162" t="str">
        <f>IF(wskakunin_sekkei3__sikaku="", "", wskakunin_sekkei3__sikaku)</f>
        <v/>
      </c>
      <c r="G320" s="22"/>
      <c r="H320" s="22"/>
    </row>
    <row r="321" spans="1:8" ht="12">
      <c r="A321" s="35"/>
      <c r="B321" s="80" t="s">
        <v>396</v>
      </c>
      <c r="C321" s="21" t="s">
        <v>647</v>
      </c>
      <c r="D321" s="162" t="s">
        <v>112</v>
      </c>
      <c r="E321" s="21" t="s">
        <v>648</v>
      </c>
      <c r="F321" s="162" t="str">
        <f>IF(wskakunin_sekkei3_SIKAKU__label="","",wskakunin_sekkei3_SIKAKU__label)</f>
        <v/>
      </c>
      <c r="G321" s="22"/>
      <c r="H321" s="22"/>
    </row>
    <row r="322" spans="1:8" ht="12">
      <c r="A322" s="35"/>
      <c r="B322" s="80" t="s">
        <v>400</v>
      </c>
      <c r="C322" s="21" t="s">
        <v>649</v>
      </c>
      <c r="D322" s="162" t="s">
        <v>112</v>
      </c>
      <c r="E322" s="21" t="s">
        <v>650</v>
      </c>
      <c r="F322" s="162" t="str">
        <f>IF(wskakunin_sekkei3_TOUROKU_KIKAN__label="","",wskakunin_sekkei3_TOUROKU_KIKAN__label)</f>
        <v/>
      </c>
      <c r="G322" s="22"/>
      <c r="H322" s="22"/>
    </row>
    <row r="323" spans="1:8" ht="12">
      <c r="A323" s="35"/>
      <c r="B323" s="80" t="s">
        <v>404</v>
      </c>
      <c r="C323" s="21" t="s">
        <v>651</v>
      </c>
      <c r="D323" s="255" t="s">
        <v>112</v>
      </c>
      <c r="E323" s="21" t="s">
        <v>652</v>
      </c>
      <c r="F323" s="162" t="str">
        <f>IF(wskakunin_sekkei3_KENTIKUSI_NO="","",wskakunin_sekkei3_KENTIKUSI_NO)</f>
        <v/>
      </c>
      <c r="G323" s="22"/>
      <c r="H323" s="22"/>
    </row>
    <row r="324" spans="1:8" ht="12">
      <c r="A324" s="47"/>
      <c r="B324" s="80" t="s">
        <v>194</v>
      </c>
      <c r="C324" s="21" t="s">
        <v>653</v>
      </c>
      <c r="D324" s="162" t="s">
        <v>112</v>
      </c>
      <c r="E324" s="21" t="s">
        <v>654</v>
      </c>
      <c r="F324" s="162" t="str">
        <f>IF(wskakunin_sekkei3_NAME="", "", wskakunin_sekkei3_NAME)</f>
        <v/>
      </c>
      <c r="G324" s="22"/>
      <c r="H324" s="22"/>
    </row>
    <row r="325" spans="1:8" ht="12">
      <c r="A325" s="47"/>
      <c r="B325" s="80" t="s">
        <v>416</v>
      </c>
      <c r="C325" s="21" t="s">
        <v>655</v>
      </c>
      <c r="D325" s="162" t="s">
        <v>112</v>
      </c>
      <c r="E325" s="21" t="s">
        <v>656</v>
      </c>
      <c r="F325" s="162" t="str">
        <f>IF(wskakunin_sekkei3_JIMU__sikaku="", "", wskakunin_sekkei3_JIMU__sikaku)</f>
        <v/>
      </c>
      <c r="G325" s="22"/>
      <c r="H325" s="22"/>
    </row>
    <row r="326" spans="1:8" ht="12">
      <c r="A326" s="47"/>
      <c r="B326" s="80" t="s">
        <v>420</v>
      </c>
      <c r="C326" s="21" t="s">
        <v>657</v>
      </c>
      <c r="D326" s="162" t="s">
        <v>112</v>
      </c>
      <c r="E326" s="21" t="s">
        <v>658</v>
      </c>
      <c r="F326" s="162" t="str">
        <f>IF(wskakunin_sekkei3_JIMU_SIKAKU__label="","",wskakunin_sekkei3_JIMU_SIKAKU__label)</f>
        <v/>
      </c>
      <c r="G326" s="22"/>
      <c r="H326" s="22"/>
    </row>
    <row r="327" spans="1:8" ht="12">
      <c r="A327" s="47"/>
      <c r="B327" s="80" t="s">
        <v>423</v>
      </c>
      <c r="C327" s="21" t="s">
        <v>659</v>
      </c>
      <c r="D327" s="162" t="s">
        <v>112</v>
      </c>
      <c r="E327" s="21" t="s">
        <v>660</v>
      </c>
      <c r="F327" s="162" t="str">
        <f>IF(wskakunin_sekkei3_JIMU_TOUROKU_KIKAN__label="","",wskakunin_sekkei3_JIMU_TOUROKU_KIKAN__label)</f>
        <v/>
      </c>
      <c r="G327" s="22"/>
      <c r="H327" s="22"/>
    </row>
    <row r="328" spans="1:8" ht="12">
      <c r="A328" s="47"/>
      <c r="B328" s="80" t="s">
        <v>427</v>
      </c>
      <c r="C328" s="21" t="s">
        <v>661</v>
      </c>
      <c r="D328" s="255" t="s">
        <v>112</v>
      </c>
      <c r="E328" s="21" t="s">
        <v>662</v>
      </c>
      <c r="F328" s="162" t="str">
        <f>IF(wskakunin_sekkei3_JIMU_NO="","",wskakunin_sekkei3_JIMU_NO)</f>
        <v/>
      </c>
      <c r="G328" s="22"/>
      <c r="H328" s="22"/>
    </row>
    <row r="329" spans="1:8" ht="12">
      <c r="A329" s="63"/>
      <c r="B329" s="80" t="s">
        <v>431</v>
      </c>
      <c r="C329" s="21" t="s">
        <v>663</v>
      </c>
      <c r="D329" s="162" t="s">
        <v>112</v>
      </c>
      <c r="E329" s="21" t="s">
        <v>664</v>
      </c>
      <c r="F329" s="162" t="str">
        <f>IF(wskakunin_sekkei3_JIMU_NAME="", "", wskakunin_sekkei3_JIMU_NAME)</f>
        <v/>
      </c>
      <c r="G329" s="22"/>
      <c r="H329" s="22"/>
    </row>
    <row r="330" spans="1:8" ht="12">
      <c r="A330" s="47"/>
      <c r="B330" s="80" t="s">
        <v>601</v>
      </c>
      <c r="D330" s="37"/>
      <c r="E330" s="21" t="s">
        <v>665</v>
      </c>
      <c r="F330" s="162" t="str">
        <f>wskakunin_sekkei3_JIMU_NAME&amp;" "&amp;wskakunin_sekkei3_NAME</f>
        <v xml:space="preserve"> </v>
      </c>
      <c r="G330" s="22"/>
      <c r="H330" s="22"/>
    </row>
    <row r="331" spans="1:8" ht="12">
      <c r="A331" s="63"/>
      <c r="B331" s="80" t="s">
        <v>205</v>
      </c>
      <c r="C331" s="21" t="s">
        <v>666</v>
      </c>
      <c r="D331" s="255" t="s">
        <v>112</v>
      </c>
      <c r="E331" s="21" t="s">
        <v>667</v>
      </c>
      <c r="F331" s="162" t="str">
        <f>IF(wskakunin_sekkei3_ZIP="", "", wskakunin_sekkei3_ZIP)</f>
        <v/>
      </c>
      <c r="G331" s="22"/>
      <c r="H331" s="22" t="s">
        <v>605</v>
      </c>
    </row>
    <row r="332" spans="1:8" ht="12">
      <c r="A332" s="63"/>
      <c r="B332" s="80" t="s">
        <v>438</v>
      </c>
      <c r="C332" s="21" t="s">
        <v>668</v>
      </c>
      <c r="D332" s="162" t="s">
        <v>112</v>
      </c>
      <c r="E332" s="21" t="s">
        <v>669</v>
      </c>
      <c r="F332" s="162" t="str">
        <f>IF(wskakunin_sekkei3__address="", "", wskakunin_sekkei3__address)</f>
        <v/>
      </c>
      <c r="G332" s="22"/>
      <c r="H332" s="22"/>
    </row>
    <row r="333" spans="1:8" ht="12">
      <c r="A333" s="63"/>
      <c r="B333" s="80" t="s">
        <v>214</v>
      </c>
      <c r="C333" s="21" t="s">
        <v>670</v>
      </c>
      <c r="D333" s="255" t="s">
        <v>112</v>
      </c>
      <c r="E333" s="21" t="s">
        <v>671</v>
      </c>
      <c r="F333" s="162" t="str">
        <f>IF(wskakunin_sekkei3_TEL="", "", wskakunin_sekkei3_TEL)</f>
        <v/>
      </c>
      <c r="G333" s="22"/>
      <c r="H333" s="22"/>
    </row>
    <row r="334" spans="1:8" ht="12">
      <c r="A334" s="63"/>
      <c r="B334" s="80" t="s">
        <v>610</v>
      </c>
      <c r="C334" s="21" t="s">
        <v>672</v>
      </c>
      <c r="D334" s="255" t="s">
        <v>112</v>
      </c>
      <c r="E334" s="21" t="s">
        <v>673</v>
      </c>
      <c r="F334" s="162" t="str">
        <f>IF(wskakunin_sekkei3_DOC="","",wskakunin_sekkei3_DOC)</f>
        <v/>
      </c>
      <c r="G334" s="22"/>
      <c r="H334" s="22"/>
    </row>
    <row r="335" spans="1:8" ht="12">
      <c r="A335" s="63"/>
      <c r="B335" s="88"/>
      <c r="G335" s="22"/>
      <c r="H335" s="22"/>
    </row>
    <row r="336" spans="1:8" ht="12">
      <c r="A336" s="49" t="s">
        <v>674</v>
      </c>
      <c r="B336" s="52"/>
      <c r="G336" s="22"/>
      <c r="H336" s="22"/>
    </row>
    <row r="337" spans="1:8" ht="12">
      <c r="A337" s="86"/>
      <c r="B337" s="80" t="s">
        <v>392</v>
      </c>
      <c r="C337" s="21" t="s">
        <v>675</v>
      </c>
      <c r="D337" s="162" t="s">
        <v>112</v>
      </c>
      <c r="E337" s="21" t="s">
        <v>676</v>
      </c>
      <c r="F337" s="162" t="str">
        <f>IF(wskakunin_sekkei4__sikaku="", "", wskakunin_sekkei4__sikaku)</f>
        <v/>
      </c>
      <c r="G337" s="22"/>
      <c r="H337" s="22"/>
    </row>
    <row r="338" spans="1:8" ht="12">
      <c r="A338" s="86"/>
      <c r="B338" s="80" t="s">
        <v>396</v>
      </c>
      <c r="C338" s="21" t="s">
        <v>677</v>
      </c>
      <c r="D338" s="162" t="s">
        <v>112</v>
      </c>
      <c r="E338" s="21" t="s">
        <v>678</v>
      </c>
      <c r="F338" s="162" t="str">
        <f>IF(wskakunin_sekkei4_SIKAKU__label="","",wskakunin_sekkei4_SIKAKU__label)</f>
        <v/>
      </c>
      <c r="G338" s="22"/>
      <c r="H338" s="22"/>
    </row>
    <row r="339" spans="1:8" ht="12">
      <c r="A339" s="86"/>
      <c r="B339" s="80" t="s">
        <v>400</v>
      </c>
      <c r="C339" s="21" t="s">
        <v>679</v>
      </c>
      <c r="D339" s="162" t="s">
        <v>112</v>
      </c>
      <c r="E339" s="21" t="s">
        <v>680</v>
      </c>
      <c r="F339" s="162" t="str">
        <f>IF(wskakunin_sekkei4_TOUROKU_KIKAN__label="","",wskakunin_sekkei4_TOUROKU_KIKAN__label)</f>
        <v/>
      </c>
      <c r="G339" s="22"/>
      <c r="H339" s="22"/>
    </row>
    <row r="340" spans="1:8" ht="12">
      <c r="A340" s="86"/>
      <c r="B340" s="80" t="s">
        <v>404</v>
      </c>
      <c r="C340" s="21" t="s">
        <v>681</v>
      </c>
      <c r="D340" s="255" t="s">
        <v>112</v>
      </c>
      <c r="E340" s="21" t="s">
        <v>682</v>
      </c>
      <c r="F340" s="162" t="str">
        <f>IF(wskakunin_sekkei4_KENTIKUSI_NO="","",wskakunin_sekkei4_KENTIKUSI_NO)</f>
        <v/>
      </c>
      <c r="G340" s="22"/>
      <c r="H340" s="22"/>
    </row>
    <row r="341" spans="1:8" ht="12">
      <c r="A341" s="53"/>
      <c r="B341" s="80" t="s">
        <v>194</v>
      </c>
      <c r="C341" s="21" t="s">
        <v>683</v>
      </c>
      <c r="D341" s="162" t="s">
        <v>112</v>
      </c>
      <c r="E341" s="21" t="s">
        <v>684</v>
      </c>
      <c r="F341" s="162" t="str">
        <f>IF(wskakunin_sekkei4_NAME="", "", wskakunin_sekkei4_NAME)</f>
        <v/>
      </c>
      <c r="G341" s="22"/>
      <c r="H341" s="22"/>
    </row>
    <row r="342" spans="1:8" ht="12">
      <c r="A342" s="53"/>
      <c r="B342" s="80" t="s">
        <v>416</v>
      </c>
      <c r="C342" s="21" t="s">
        <v>685</v>
      </c>
      <c r="D342" s="162" t="s">
        <v>112</v>
      </c>
      <c r="E342" s="21" t="s">
        <v>686</v>
      </c>
      <c r="F342" s="162" t="str">
        <f>IF(wskakunin_sekkei4_JIMU__sikaku="", "", wskakunin_sekkei4_JIMU__sikaku)</f>
        <v/>
      </c>
      <c r="G342" s="22"/>
      <c r="H342" s="22"/>
    </row>
    <row r="343" spans="1:8" ht="12">
      <c r="A343" s="53"/>
      <c r="B343" s="80" t="s">
        <v>420</v>
      </c>
      <c r="C343" s="21" t="s">
        <v>687</v>
      </c>
      <c r="D343" s="162" t="s">
        <v>112</v>
      </c>
      <c r="E343" s="21" t="s">
        <v>688</v>
      </c>
      <c r="F343" s="162" t="str">
        <f>IF(wskakunin_sekkei4_JIMU_SIKAKU__label="","",wskakunin_sekkei4_JIMU_SIKAKU__label)</f>
        <v/>
      </c>
      <c r="G343" s="22"/>
      <c r="H343" s="22"/>
    </row>
    <row r="344" spans="1:8" ht="12">
      <c r="A344" s="53"/>
      <c r="B344" s="80" t="s">
        <v>423</v>
      </c>
      <c r="C344" s="21" t="s">
        <v>689</v>
      </c>
      <c r="D344" s="162" t="s">
        <v>112</v>
      </c>
      <c r="E344" s="21" t="s">
        <v>690</v>
      </c>
      <c r="F344" s="162" t="str">
        <f>IF(wskakunin_sekkei4_JIMU_TOUROKU_KIKAN__label="","",wskakunin_sekkei4_JIMU_TOUROKU_KIKAN__label)</f>
        <v/>
      </c>
      <c r="G344" s="22"/>
      <c r="H344" s="22"/>
    </row>
    <row r="345" spans="1:8" ht="12">
      <c r="A345" s="53"/>
      <c r="B345" s="80" t="s">
        <v>427</v>
      </c>
      <c r="C345" s="21" t="s">
        <v>691</v>
      </c>
      <c r="D345" s="255" t="s">
        <v>112</v>
      </c>
      <c r="E345" s="21" t="s">
        <v>692</v>
      </c>
      <c r="F345" s="162" t="str">
        <f>IF(wskakunin_sekkei4_JIMU_NO="","",wskakunin_sekkei4_JIMU_NO)</f>
        <v/>
      </c>
      <c r="G345" s="22"/>
      <c r="H345" s="22"/>
    </row>
    <row r="346" spans="1:8" ht="12">
      <c r="A346" s="53"/>
      <c r="B346" s="80" t="s">
        <v>431</v>
      </c>
      <c r="C346" s="21" t="s">
        <v>693</v>
      </c>
      <c r="D346" s="162" t="s">
        <v>112</v>
      </c>
      <c r="E346" s="21" t="s">
        <v>694</v>
      </c>
      <c r="F346" s="162" t="str">
        <f>IF(wskakunin_sekkei4_JIMU_NAME="", "", wskakunin_sekkei4_JIMU_NAME)</f>
        <v/>
      </c>
      <c r="G346" s="22"/>
      <c r="H346" s="22"/>
    </row>
    <row r="347" spans="1:8" ht="12">
      <c r="A347" s="53"/>
      <c r="B347" s="80" t="s">
        <v>601</v>
      </c>
      <c r="D347" s="37"/>
      <c r="E347" s="21" t="s">
        <v>695</v>
      </c>
      <c r="F347" s="162" t="str">
        <f>wskakunin_sekkei4_JIMU_NAME&amp;" "&amp;wskakunin_sekkei4_NAME</f>
        <v xml:space="preserve"> </v>
      </c>
      <c r="G347" s="22"/>
      <c r="H347" s="22"/>
    </row>
    <row r="348" spans="1:8" ht="12">
      <c r="A348" s="53"/>
      <c r="B348" s="80" t="s">
        <v>205</v>
      </c>
      <c r="C348" s="21" t="s">
        <v>696</v>
      </c>
      <c r="D348" s="255" t="s">
        <v>112</v>
      </c>
      <c r="E348" s="21" t="s">
        <v>697</v>
      </c>
      <c r="F348" s="162" t="str">
        <f>IF(wskakunin_sekkei4_ZIP="", "", wskakunin_sekkei4_ZIP)</f>
        <v/>
      </c>
      <c r="G348" s="22"/>
      <c r="H348" s="22" t="s">
        <v>605</v>
      </c>
    </row>
    <row r="349" spans="1:8" ht="12">
      <c r="A349" s="53"/>
      <c r="B349" s="80" t="s">
        <v>438</v>
      </c>
      <c r="C349" s="21" t="s">
        <v>698</v>
      </c>
      <c r="D349" s="162" t="s">
        <v>112</v>
      </c>
      <c r="E349" s="21" t="s">
        <v>699</v>
      </c>
      <c r="F349" s="162" t="str">
        <f>IF(wskakunin_sekkei4__address="", "", wskakunin_sekkei4__address)</f>
        <v/>
      </c>
      <c r="G349" s="22"/>
      <c r="H349" s="22"/>
    </row>
    <row r="350" spans="1:8" ht="12">
      <c r="A350" s="53"/>
      <c r="B350" s="80" t="s">
        <v>214</v>
      </c>
      <c r="C350" s="21" t="s">
        <v>700</v>
      </c>
      <c r="D350" s="255" t="s">
        <v>112</v>
      </c>
      <c r="E350" s="21" t="s">
        <v>701</v>
      </c>
      <c r="F350" s="162" t="str">
        <f>IF(wskakunin_sekkei4_TEL="", "", wskakunin_sekkei4_TEL)</f>
        <v/>
      </c>
      <c r="G350" s="22"/>
      <c r="H350" s="22"/>
    </row>
    <row r="351" spans="1:8" ht="12">
      <c r="A351" s="53"/>
      <c r="B351" s="80" t="s">
        <v>610</v>
      </c>
      <c r="C351" s="21" t="s">
        <v>702</v>
      </c>
      <c r="D351" s="255" t="s">
        <v>112</v>
      </c>
      <c r="E351" s="21" t="s">
        <v>703</v>
      </c>
      <c r="F351" s="162" t="str">
        <f>IF(wskakunin_sekkei4_DOC="","",wskakunin_sekkei4_DOC)</f>
        <v/>
      </c>
      <c r="G351" s="22"/>
      <c r="H351" s="22"/>
    </row>
    <row r="352" spans="1:8" ht="12">
      <c r="A352" s="54"/>
      <c r="B352" s="88"/>
      <c r="G352" s="22"/>
      <c r="H352" s="22"/>
    </row>
    <row r="353" spans="1:8" ht="12">
      <c r="A353" s="8" t="s">
        <v>704</v>
      </c>
      <c r="B353" s="52"/>
      <c r="G353" s="22"/>
      <c r="H353" s="22"/>
    </row>
    <row r="354" spans="1:8" ht="12">
      <c r="A354" s="30"/>
      <c r="B354" s="80" t="s">
        <v>392</v>
      </c>
      <c r="C354" s="21" t="s">
        <v>705</v>
      </c>
      <c r="D354" s="162" t="s">
        <v>112</v>
      </c>
      <c r="E354" s="21" t="s">
        <v>706</v>
      </c>
      <c r="F354" s="162" t="str">
        <f>IF(wskakunin_sekkei5__sikaku="", "", wskakunin_sekkei5__sikaku)</f>
        <v/>
      </c>
      <c r="H354" s="22"/>
    </row>
    <row r="355" spans="1:8" ht="12">
      <c r="A355" s="35"/>
      <c r="B355" s="80" t="s">
        <v>396</v>
      </c>
      <c r="C355" s="21" t="s">
        <v>707</v>
      </c>
      <c r="D355" s="162" t="s">
        <v>112</v>
      </c>
      <c r="E355" s="21" t="s">
        <v>708</v>
      </c>
      <c r="F355" s="162" t="str">
        <f>IF(wskakunin_sekkei5_SIKAKU__label="","",wskakunin_sekkei5_SIKAKU__label)</f>
        <v/>
      </c>
      <c r="H355" s="22"/>
    </row>
    <row r="356" spans="1:8" ht="12">
      <c r="A356" s="35"/>
      <c r="B356" s="80" t="s">
        <v>400</v>
      </c>
      <c r="C356" s="21" t="s">
        <v>709</v>
      </c>
      <c r="D356" s="162" t="s">
        <v>112</v>
      </c>
      <c r="E356" s="21" t="s">
        <v>710</v>
      </c>
      <c r="F356" s="162" t="str">
        <f>IF(wskakunin_sekkei5_TOUROKU_KIKAN__label="","",wskakunin_sekkei5_TOUROKU_KIKAN__label)</f>
        <v/>
      </c>
      <c r="H356" s="22"/>
    </row>
    <row r="357" spans="1:8" ht="12">
      <c r="A357" s="35"/>
      <c r="B357" s="80" t="s">
        <v>404</v>
      </c>
      <c r="C357" s="21" t="s">
        <v>711</v>
      </c>
      <c r="D357" s="255" t="s">
        <v>112</v>
      </c>
      <c r="E357" s="21" t="s">
        <v>712</v>
      </c>
      <c r="F357" s="162" t="str">
        <f>IF(wskakunin_sekkei5_KENTIKUSI_NO="","",wskakunin_sekkei5_KENTIKUSI_NO)</f>
        <v/>
      </c>
      <c r="H357" s="22"/>
    </row>
    <row r="358" spans="1:8" ht="12">
      <c r="A358" s="47"/>
      <c r="B358" s="80" t="s">
        <v>194</v>
      </c>
      <c r="C358" s="21" t="s">
        <v>713</v>
      </c>
      <c r="D358" s="162" t="s">
        <v>112</v>
      </c>
      <c r="E358" s="21" t="s">
        <v>714</v>
      </c>
      <c r="F358" s="162" t="str">
        <f>IF(wskakunin_sekkei5_NAME="", "", wskakunin_sekkei5_NAME)</f>
        <v/>
      </c>
      <c r="H358" s="22"/>
    </row>
    <row r="359" spans="1:8" ht="12">
      <c r="A359" s="47"/>
      <c r="B359" s="80" t="s">
        <v>416</v>
      </c>
      <c r="C359" s="21" t="s">
        <v>715</v>
      </c>
      <c r="D359" s="162" t="s">
        <v>112</v>
      </c>
      <c r="E359" s="21" t="s">
        <v>716</v>
      </c>
      <c r="F359" s="162" t="str">
        <f>IF(wskakunin_sekkei5_JIMU__sikaku="", "", wskakunin_sekkei5_JIMU__sikaku)</f>
        <v/>
      </c>
      <c r="H359" s="22"/>
    </row>
    <row r="360" spans="1:8" ht="12">
      <c r="A360" s="47"/>
      <c r="B360" s="80" t="s">
        <v>420</v>
      </c>
      <c r="C360" s="21" t="s">
        <v>717</v>
      </c>
      <c r="D360" s="162" t="s">
        <v>112</v>
      </c>
      <c r="E360" s="21" t="s">
        <v>718</v>
      </c>
      <c r="F360" s="162" t="str">
        <f>IF(wskakunin_sekkei5_JIMU_SIKAKU__label="","",wskakunin_sekkei5_JIMU_SIKAKU__label)</f>
        <v/>
      </c>
      <c r="H360" s="22"/>
    </row>
    <row r="361" spans="1:8" ht="12">
      <c r="A361" s="47"/>
      <c r="B361" s="80" t="s">
        <v>423</v>
      </c>
      <c r="C361" s="21" t="s">
        <v>719</v>
      </c>
      <c r="D361" s="162" t="s">
        <v>112</v>
      </c>
      <c r="E361" s="21" t="s">
        <v>720</v>
      </c>
      <c r="F361" s="162" t="str">
        <f>IF(wskakunin_sekkei5_JIMU_TOUROKU_KIKAN__label="","",wskakunin_sekkei5_JIMU_TOUROKU_KIKAN__label)</f>
        <v/>
      </c>
      <c r="H361" s="22"/>
    </row>
    <row r="362" spans="1:8" ht="12">
      <c r="A362" s="47"/>
      <c r="B362" s="80" t="s">
        <v>427</v>
      </c>
      <c r="C362" s="21" t="s">
        <v>721</v>
      </c>
      <c r="D362" s="255" t="s">
        <v>112</v>
      </c>
      <c r="E362" s="21" t="s">
        <v>722</v>
      </c>
      <c r="F362" s="162" t="str">
        <f>IF(wskakunin_sekkei5_JIMU_NO="","",wskakunin_sekkei5_JIMU_NO)</f>
        <v/>
      </c>
      <c r="H362" s="22"/>
    </row>
    <row r="363" spans="1:8" ht="12">
      <c r="A363" s="63"/>
      <c r="B363" s="80" t="s">
        <v>431</v>
      </c>
      <c r="C363" s="21" t="s">
        <v>723</v>
      </c>
      <c r="D363" s="162" t="s">
        <v>112</v>
      </c>
      <c r="E363" s="21" t="s">
        <v>724</v>
      </c>
      <c r="F363" s="162" t="str">
        <f>IF(wskakunin_sekkei5_JIMU_NAME="", "", wskakunin_sekkei5_JIMU_NAME)</f>
        <v/>
      </c>
      <c r="H363" s="22"/>
    </row>
    <row r="364" spans="1:8" ht="12">
      <c r="A364" s="47"/>
      <c r="B364" s="80" t="s">
        <v>601</v>
      </c>
      <c r="D364" s="37"/>
      <c r="E364" s="21" t="s">
        <v>725</v>
      </c>
      <c r="F364" s="162" t="str">
        <f>wskakunin_sekkei5_JIMU_NAME&amp;" "&amp;wskakunin_sekkei5_NAME</f>
        <v xml:space="preserve"> </v>
      </c>
      <c r="H364" s="22"/>
    </row>
    <row r="365" spans="1:8" ht="12">
      <c r="A365" s="63"/>
      <c r="B365" s="80" t="s">
        <v>205</v>
      </c>
      <c r="C365" s="21" t="s">
        <v>726</v>
      </c>
      <c r="D365" s="255" t="s">
        <v>112</v>
      </c>
      <c r="E365" s="21" t="s">
        <v>727</v>
      </c>
      <c r="F365" s="162" t="str">
        <f>IF(wskakunin_sekkei5_ZIP="", "", wskakunin_sekkei5_ZIP)</f>
        <v/>
      </c>
      <c r="H365" s="22" t="s">
        <v>605</v>
      </c>
    </row>
    <row r="366" spans="1:8" ht="12">
      <c r="A366" s="63"/>
      <c r="B366" s="80" t="s">
        <v>438</v>
      </c>
      <c r="C366" s="21" t="s">
        <v>728</v>
      </c>
      <c r="D366" s="162" t="s">
        <v>112</v>
      </c>
      <c r="E366" s="21" t="s">
        <v>729</v>
      </c>
      <c r="F366" s="162" t="str">
        <f>IF(wskakunin_sekkei5__address="", "", wskakunin_sekkei5__address)</f>
        <v/>
      </c>
      <c r="H366" s="22"/>
    </row>
    <row r="367" spans="1:8" ht="12">
      <c r="A367" s="63"/>
      <c r="B367" s="80" t="s">
        <v>214</v>
      </c>
      <c r="C367" s="21" t="s">
        <v>730</v>
      </c>
      <c r="D367" s="255" t="s">
        <v>112</v>
      </c>
      <c r="E367" s="21" t="s">
        <v>731</v>
      </c>
      <c r="F367" s="162" t="str">
        <f>IF(wskakunin_sekkei5_TEL="", "", wskakunin_sekkei5_TEL)</f>
        <v/>
      </c>
      <c r="H367" s="22"/>
    </row>
    <row r="368" spans="1:8" ht="12">
      <c r="A368" s="63"/>
      <c r="B368" s="80" t="s">
        <v>610</v>
      </c>
      <c r="C368" s="21" t="s">
        <v>732</v>
      </c>
      <c r="D368" s="255" t="s">
        <v>112</v>
      </c>
      <c r="E368" s="21" t="s">
        <v>733</v>
      </c>
      <c r="F368" s="162" t="str">
        <f>IF(wskakunin_sekkei5_DOC="","",wskakunin_sekkei5_DOC)</f>
        <v/>
      </c>
      <c r="H368" s="22"/>
    </row>
    <row r="369" spans="1:8" ht="12">
      <c r="A369" s="63"/>
      <c r="B369" s="88"/>
      <c r="H369" s="22"/>
    </row>
    <row r="370" spans="1:8" ht="12">
      <c r="A370" s="8" t="s">
        <v>734</v>
      </c>
      <c r="B370" s="52"/>
      <c r="H370" s="22"/>
    </row>
    <row r="371" spans="1:8" ht="12">
      <c r="A371" s="30"/>
      <c r="B371" s="80" t="s">
        <v>392</v>
      </c>
      <c r="C371" s="21" t="s">
        <v>735</v>
      </c>
      <c r="D371" s="162" t="s">
        <v>112</v>
      </c>
      <c r="E371" s="21" t="s">
        <v>736</v>
      </c>
      <c r="F371" s="162" t="str">
        <f>IF(wskakunin_sekkei6__sikaku="", "", wskakunin_sekkei6__sikaku)</f>
        <v/>
      </c>
      <c r="H371" s="22"/>
    </row>
    <row r="372" spans="1:8" ht="12">
      <c r="A372" s="35"/>
      <c r="B372" s="80" t="s">
        <v>396</v>
      </c>
      <c r="C372" s="21" t="s">
        <v>737</v>
      </c>
      <c r="D372" s="162" t="s">
        <v>112</v>
      </c>
      <c r="E372" s="21" t="s">
        <v>738</v>
      </c>
      <c r="F372" s="162" t="str">
        <f>IF(wskakunin_sekkei6_SIKAKU__label="","",wskakunin_sekkei6_SIKAKU__label)</f>
        <v/>
      </c>
      <c r="H372" s="22"/>
    </row>
    <row r="373" spans="1:8" ht="12">
      <c r="A373" s="35"/>
      <c r="B373" s="80" t="s">
        <v>400</v>
      </c>
      <c r="C373" s="21" t="s">
        <v>739</v>
      </c>
      <c r="D373" s="162" t="s">
        <v>112</v>
      </c>
      <c r="E373" s="21" t="s">
        <v>740</v>
      </c>
      <c r="F373" s="162" t="str">
        <f>IF(wskakunin_sekkei6_TOUROKU_KIKAN__label="","",wskakunin_sekkei6_TOUROKU_KIKAN__label)</f>
        <v/>
      </c>
      <c r="H373" s="22"/>
    </row>
    <row r="374" spans="1:8" ht="12">
      <c r="A374" s="35"/>
      <c r="B374" s="80" t="s">
        <v>404</v>
      </c>
      <c r="C374" s="21" t="s">
        <v>741</v>
      </c>
      <c r="D374" s="255" t="s">
        <v>112</v>
      </c>
      <c r="E374" s="21" t="s">
        <v>742</v>
      </c>
      <c r="F374" s="162" t="str">
        <f>IF(wskakunin_sekkei6_KENTIKUSI_NO="","",wskakunin_sekkei6_KENTIKUSI_NO)</f>
        <v/>
      </c>
      <c r="H374" s="22"/>
    </row>
    <row r="375" spans="1:8" ht="12">
      <c r="A375" s="47"/>
      <c r="B375" s="80" t="s">
        <v>194</v>
      </c>
      <c r="C375" s="21" t="s">
        <v>743</v>
      </c>
      <c r="D375" s="162" t="s">
        <v>112</v>
      </c>
      <c r="E375" s="21" t="s">
        <v>744</v>
      </c>
      <c r="F375" s="162" t="str">
        <f>IF(wskakunin_sekkei6_NAME="", "", wskakunin_sekkei6_NAME)</f>
        <v/>
      </c>
      <c r="H375" s="22"/>
    </row>
    <row r="376" spans="1:8" ht="12">
      <c r="A376" s="47"/>
      <c r="B376" s="80" t="s">
        <v>416</v>
      </c>
      <c r="C376" s="21" t="s">
        <v>745</v>
      </c>
      <c r="D376" s="162" t="s">
        <v>112</v>
      </c>
      <c r="E376" s="21" t="s">
        <v>746</v>
      </c>
      <c r="F376" s="162" t="str">
        <f>IF(wskakunin_sekkei6_JIMU__sikaku="", "", wskakunin_sekkei6_JIMU__sikaku)</f>
        <v/>
      </c>
      <c r="H376" s="22"/>
    </row>
    <row r="377" spans="1:8" ht="12">
      <c r="A377" s="47"/>
      <c r="B377" s="80" t="s">
        <v>420</v>
      </c>
      <c r="C377" s="21" t="s">
        <v>747</v>
      </c>
      <c r="D377" s="162" t="s">
        <v>112</v>
      </c>
      <c r="E377" s="21" t="s">
        <v>748</v>
      </c>
      <c r="F377" s="162" t="str">
        <f>IF(wskakunin_sekkei6_JIMU_SIKAKU__label="","",wskakunin_sekkei6_JIMU_SIKAKU__label)</f>
        <v/>
      </c>
      <c r="H377" s="22"/>
    </row>
    <row r="378" spans="1:8" ht="12">
      <c r="A378" s="47"/>
      <c r="B378" s="80" t="s">
        <v>423</v>
      </c>
      <c r="C378" s="21" t="s">
        <v>749</v>
      </c>
      <c r="D378" s="162" t="s">
        <v>112</v>
      </c>
      <c r="E378" s="21" t="s">
        <v>750</v>
      </c>
      <c r="F378" s="162" t="str">
        <f>IF(wskakunin_sekkei6_JIMU_TOUROKU_KIKAN__label="","",wskakunin_sekkei6_JIMU_TOUROKU_KIKAN__label)</f>
        <v/>
      </c>
      <c r="H378" s="22"/>
    </row>
    <row r="379" spans="1:8" ht="12">
      <c r="A379" s="47"/>
      <c r="B379" s="80" t="s">
        <v>427</v>
      </c>
      <c r="C379" s="21" t="s">
        <v>751</v>
      </c>
      <c r="D379" s="255" t="s">
        <v>112</v>
      </c>
      <c r="E379" s="21" t="s">
        <v>752</v>
      </c>
      <c r="F379" s="162" t="str">
        <f>IF(wskakunin_sekkei6_JIMU_NO="","",wskakunin_sekkei6_JIMU_NO)</f>
        <v/>
      </c>
      <c r="H379" s="22"/>
    </row>
    <row r="380" spans="1:8" ht="12">
      <c r="A380" s="63"/>
      <c r="B380" s="80" t="s">
        <v>431</v>
      </c>
      <c r="C380" s="21" t="s">
        <v>753</v>
      </c>
      <c r="D380" s="162" t="s">
        <v>112</v>
      </c>
      <c r="E380" s="21" t="s">
        <v>754</v>
      </c>
      <c r="F380" s="162" t="str">
        <f>IF(wskakunin_sekkei6_JIMU_NAME="", "", wskakunin_sekkei6_JIMU_NAME)</f>
        <v/>
      </c>
      <c r="H380" s="22"/>
    </row>
    <row r="381" spans="1:8" ht="12">
      <c r="A381" s="47"/>
      <c r="B381" s="80" t="s">
        <v>601</v>
      </c>
      <c r="D381" s="37"/>
      <c r="E381" s="21" t="s">
        <v>755</v>
      </c>
      <c r="F381" s="162" t="str">
        <f>wskakunin_sekkei6_JIMU_NAME&amp;" "&amp;wskakunin_sekkei6_NAME</f>
        <v xml:space="preserve"> </v>
      </c>
      <c r="H381" s="22"/>
    </row>
    <row r="382" spans="1:8" ht="12">
      <c r="A382" s="63"/>
      <c r="B382" s="80" t="s">
        <v>205</v>
      </c>
      <c r="C382" s="21" t="s">
        <v>756</v>
      </c>
      <c r="D382" s="255" t="s">
        <v>112</v>
      </c>
      <c r="E382" s="21" t="s">
        <v>757</v>
      </c>
      <c r="F382" s="162" t="str">
        <f>IF(wskakunin_sekkei6_ZIP="", "", wskakunin_sekkei6_ZIP)</f>
        <v/>
      </c>
      <c r="H382" s="22" t="s">
        <v>605</v>
      </c>
    </row>
    <row r="383" spans="1:8" ht="12">
      <c r="A383" s="63"/>
      <c r="B383" s="80" t="s">
        <v>438</v>
      </c>
      <c r="C383" s="21" t="s">
        <v>758</v>
      </c>
      <c r="D383" s="162" t="s">
        <v>112</v>
      </c>
      <c r="E383" s="21" t="s">
        <v>759</v>
      </c>
      <c r="F383" s="162" t="str">
        <f>IF(wskakunin_sekkei6__address="", "", wskakunin_sekkei6__address)</f>
        <v/>
      </c>
      <c r="H383" s="22"/>
    </row>
    <row r="384" spans="1:8" ht="12">
      <c r="A384" s="63"/>
      <c r="B384" s="80" t="s">
        <v>214</v>
      </c>
      <c r="C384" s="21" t="s">
        <v>760</v>
      </c>
      <c r="D384" s="255" t="s">
        <v>112</v>
      </c>
      <c r="E384" s="21" t="s">
        <v>761</v>
      </c>
      <c r="F384" s="162" t="str">
        <f>IF(wskakunin_sekkei6_TEL="", "", wskakunin_sekkei6_TEL)</f>
        <v/>
      </c>
      <c r="H384" s="22"/>
    </row>
    <row r="385" spans="1:8" ht="12">
      <c r="A385" s="63"/>
      <c r="B385" s="80" t="s">
        <v>610</v>
      </c>
      <c r="C385" s="21" t="s">
        <v>762</v>
      </c>
      <c r="D385" s="255" t="s">
        <v>112</v>
      </c>
      <c r="E385" s="21" t="s">
        <v>763</v>
      </c>
      <c r="F385" s="162" t="str">
        <f>IF(wskakunin_sekkei6_DOC="","",wskakunin_sekkei6_DOC)</f>
        <v/>
      </c>
      <c r="H385" s="22"/>
    </row>
    <row r="386" spans="1:8" ht="12">
      <c r="A386" s="63"/>
      <c r="B386" s="88"/>
      <c r="H386" s="22"/>
    </row>
    <row r="387" spans="1:8" ht="12">
      <c r="A387" s="8" t="s">
        <v>764</v>
      </c>
      <c r="B387" s="52"/>
      <c r="H387" s="22"/>
    </row>
    <row r="388" spans="1:8" ht="12">
      <c r="A388" s="30"/>
      <c r="B388" s="80" t="s">
        <v>392</v>
      </c>
      <c r="C388" s="21" t="s">
        <v>765</v>
      </c>
      <c r="D388" s="162" t="s">
        <v>112</v>
      </c>
      <c r="E388" s="21" t="s">
        <v>766</v>
      </c>
      <c r="F388" s="162" t="str">
        <f>IF(wskakunin_sekkei7__sikaku="", "", wskakunin_sekkei7__sikaku)</f>
        <v/>
      </c>
      <c r="H388" s="22"/>
    </row>
    <row r="389" spans="1:8" ht="12">
      <c r="A389" s="35"/>
      <c r="B389" s="80" t="s">
        <v>396</v>
      </c>
      <c r="C389" s="21" t="s">
        <v>767</v>
      </c>
      <c r="D389" s="162" t="s">
        <v>112</v>
      </c>
      <c r="E389" s="21" t="s">
        <v>768</v>
      </c>
      <c r="F389" s="162" t="str">
        <f>IF(wskakunin_sekkei7_SIKAKU__label="","",wskakunin_sekkei7_SIKAKU__label)</f>
        <v/>
      </c>
      <c r="H389" s="22"/>
    </row>
    <row r="390" spans="1:8" ht="12">
      <c r="A390" s="35"/>
      <c r="B390" s="80" t="s">
        <v>400</v>
      </c>
      <c r="C390" s="21" t="s">
        <v>769</v>
      </c>
      <c r="D390" s="162" t="s">
        <v>112</v>
      </c>
      <c r="E390" s="21" t="s">
        <v>770</v>
      </c>
      <c r="F390" s="162" t="str">
        <f>IF(wskakunin_sekkei7_TOUROKU_KIKAN__label="","",wskakunin_sekkei7_TOUROKU_KIKAN__label)</f>
        <v/>
      </c>
      <c r="H390" s="22"/>
    </row>
    <row r="391" spans="1:8" ht="12">
      <c r="A391" s="35"/>
      <c r="B391" s="80" t="s">
        <v>404</v>
      </c>
      <c r="C391" s="21" t="s">
        <v>771</v>
      </c>
      <c r="D391" s="255" t="s">
        <v>112</v>
      </c>
      <c r="E391" s="21" t="s">
        <v>772</v>
      </c>
      <c r="F391" s="162" t="str">
        <f>IF(wskakunin_sekkei7_KENTIKUSI_NO="","",wskakunin_sekkei7_KENTIKUSI_NO)</f>
        <v/>
      </c>
      <c r="H391" s="22"/>
    </row>
    <row r="392" spans="1:8" ht="12">
      <c r="A392" s="47"/>
      <c r="B392" s="80" t="s">
        <v>194</v>
      </c>
      <c r="C392" s="21" t="s">
        <v>773</v>
      </c>
      <c r="D392" s="162" t="s">
        <v>112</v>
      </c>
      <c r="E392" s="21" t="s">
        <v>774</v>
      </c>
      <c r="F392" s="162" t="str">
        <f>IF(wskakunin_sekkei7_NAME="", "", wskakunin_sekkei7_NAME)</f>
        <v/>
      </c>
      <c r="H392" s="22"/>
    </row>
    <row r="393" spans="1:8" ht="12">
      <c r="A393" s="47"/>
      <c r="B393" s="80" t="s">
        <v>416</v>
      </c>
      <c r="C393" s="21" t="s">
        <v>775</v>
      </c>
      <c r="D393" s="162" t="s">
        <v>112</v>
      </c>
      <c r="E393" s="21" t="s">
        <v>776</v>
      </c>
      <c r="F393" s="162" t="str">
        <f>IF(wskakunin_sekkei7_JIMU__sikaku="", "", wskakunin_sekkei7_JIMU__sikaku)</f>
        <v/>
      </c>
      <c r="H393" s="22"/>
    </row>
    <row r="394" spans="1:8" ht="12">
      <c r="A394" s="47"/>
      <c r="B394" s="80" t="s">
        <v>420</v>
      </c>
      <c r="C394" s="21" t="s">
        <v>777</v>
      </c>
      <c r="D394" s="162" t="s">
        <v>112</v>
      </c>
      <c r="E394" s="21" t="s">
        <v>778</v>
      </c>
      <c r="F394" s="162" t="str">
        <f>IF(wskakunin_sekkei7_JIMU_SIKAKU__label="","",wskakunin_sekkei7_JIMU_SIKAKU__label)</f>
        <v/>
      </c>
      <c r="H394" s="22"/>
    </row>
    <row r="395" spans="1:8" ht="12">
      <c r="A395" s="47"/>
      <c r="B395" s="80" t="s">
        <v>423</v>
      </c>
      <c r="C395" s="21" t="s">
        <v>779</v>
      </c>
      <c r="D395" s="162" t="s">
        <v>112</v>
      </c>
      <c r="E395" s="21" t="s">
        <v>780</v>
      </c>
      <c r="F395" s="162" t="str">
        <f>IF(wskakunin_sekkei7_JIMU_TOUROKU_KIKAN__label="","",wskakunin_sekkei7_JIMU_TOUROKU_KIKAN__label)</f>
        <v/>
      </c>
      <c r="H395" s="22"/>
    </row>
    <row r="396" spans="1:8" ht="12">
      <c r="A396" s="47"/>
      <c r="B396" s="80" t="s">
        <v>427</v>
      </c>
      <c r="C396" s="21" t="s">
        <v>781</v>
      </c>
      <c r="D396" s="255" t="s">
        <v>112</v>
      </c>
      <c r="E396" s="21" t="s">
        <v>782</v>
      </c>
      <c r="F396" s="162" t="str">
        <f>IF(wskakunin_sekkei7_JIMU_NO="","",wskakunin_sekkei7_JIMU_NO)</f>
        <v/>
      </c>
      <c r="H396" s="22"/>
    </row>
    <row r="397" spans="1:8" ht="12">
      <c r="A397" s="63"/>
      <c r="B397" s="80" t="s">
        <v>431</v>
      </c>
      <c r="C397" s="21" t="s">
        <v>783</v>
      </c>
      <c r="D397" s="162" t="s">
        <v>112</v>
      </c>
      <c r="E397" s="21" t="s">
        <v>784</v>
      </c>
      <c r="F397" s="162" t="str">
        <f>IF(wskakunin_sekkei7_JIMU_NAME="", "", wskakunin_sekkei7_JIMU_NAME)</f>
        <v/>
      </c>
      <c r="H397" s="22"/>
    </row>
    <row r="398" spans="1:8" ht="12">
      <c r="A398" s="47"/>
      <c r="B398" s="80" t="s">
        <v>601</v>
      </c>
      <c r="D398" s="37"/>
      <c r="E398" s="21" t="s">
        <v>785</v>
      </c>
      <c r="F398" s="162" t="str">
        <f>wskakunin_sekkei7_JIMU_NAME&amp;" "&amp;wskakunin_sekkei7_NAME</f>
        <v xml:space="preserve"> </v>
      </c>
      <c r="H398" s="22"/>
    </row>
    <row r="399" spans="1:8" ht="12">
      <c r="A399" s="63"/>
      <c r="B399" s="80" t="s">
        <v>205</v>
      </c>
      <c r="C399" s="21" t="s">
        <v>786</v>
      </c>
      <c r="D399" s="255" t="s">
        <v>112</v>
      </c>
      <c r="E399" s="21" t="s">
        <v>787</v>
      </c>
      <c r="F399" s="162" t="str">
        <f>IF(wskakunin_sekkei7_ZIP="", "", wskakunin_sekkei7_ZIP)</f>
        <v/>
      </c>
      <c r="H399" s="22" t="s">
        <v>605</v>
      </c>
    </row>
    <row r="400" spans="1:8" ht="12">
      <c r="A400" s="63"/>
      <c r="B400" s="80" t="s">
        <v>438</v>
      </c>
      <c r="C400" s="21" t="s">
        <v>788</v>
      </c>
      <c r="D400" s="162" t="s">
        <v>112</v>
      </c>
      <c r="E400" s="21" t="s">
        <v>789</v>
      </c>
      <c r="F400" s="162" t="str">
        <f>IF(wskakunin_sekkei7__address="", "", wskakunin_sekkei7__address)</f>
        <v/>
      </c>
      <c r="H400" s="22"/>
    </row>
    <row r="401" spans="1:8" ht="12">
      <c r="A401" s="63"/>
      <c r="B401" s="80" t="s">
        <v>214</v>
      </c>
      <c r="C401" s="21" t="s">
        <v>790</v>
      </c>
      <c r="D401" s="255" t="s">
        <v>112</v>
      </c>
      <c r="E401" s="21" t="s">
        <v>791</v>
      </c>
      <c r="F401" s="162" t="str">
        <f>IF(wskakunin_sekkei7_TEL="", "", wskakunin_sekkei7_TEL)</f>
        <v/>
      </c>
      <c r="H401" s="22"/>
    </row>
    <row r="402" spans="1:8" ht="12">
      <c r="A402" s="63"/>
      <c r="B402" s="80" t="s">
        <v>610</v>
      </c>
      <c r="C402" s="21" t="s">
        <v>792</v>
      </c>
      <c r="D402" s="255" t="s">
        <v>112</v>
      </c>
      <c r="E402" s="21" t="s">
        <v>793</v>
      </c>
      <c r="F402" s="162" t="str">
        <f>IF(wskakunin_sekkei7_DOC="","",wskakunin_sekkei7_DOC)</f>
        <v/>
      </c>
      <c r="H402" s="22"/>
    </row>
    <row r="403" spans="1:8" ht="12">
      <c r="A403" s="63"/>
      <c r="B403" s="88"/>
      <c r="H403" s="22"/>
    </row>
    <row r="404" spans="1:8" ht="12">
      <c r="A404" s="8" t="s">
        <v>794</v>
      </c>
      <c r="B404" s="52"/>
      <c r="H404" s="22"/>
    </row>
    <row r="405" spans="1:8" ht="12">
      <c r="A405" s="30"/>
      <c r="B405" s="80" t="s">
        <v>392</v>
      </c>
      <c r="C405" s="21" t="s">
        <v>795</v>
      </c>
      <c r="D405" s="162" t="s">
        <v>112</v>
      </c>
      <c r="E405" s="21" t="s">
        <v>796</v>
      </c>
      <c r="F405" s="162" t="str">
        <f>IF(wskakunin_sekkei8__sikaku="", "", wskakunin_sekkei8__sikaku)</f>
        <v/>
      </c>
      <c r="H405" s="22"/>
    </row>
    <row r="406" spans="1:8" ht="12">
      <c r="A406" s="35"/>
      <c r="B406" s="80" t="s">
        <v>396</v>
      </c>
      <c r="C406" s="21" t="s">
        <v>797</v>
      </c>
      <c r="D406" s="162" t="s">
        <v>112</v>
      </c>
      <c r="E406" s="21" t="s">
        <v>798</v>
      </c>
      <c r="F406" s="162" t="str">
        <f>IF(wskakunin_sekkei8_SIKAKU__label="","",wskakunin_sekkei8_SIKAKU__label)</f>
        <v/>
      </c>
      <c r="H406" s="22"/>
    </row>
    <row r="407" spans="1:8" ht="12">
      <c r="A407" s="35"/>
      <c r="B407" s="80" t="s">
        <v>400</v>
      </c>
      <c r="C407" s="21" t="s">
        <v>799</v>
      </c>
      <c r="D407" s="162" t="s">
        <v>112</v>
      </c>
      <c r="E407" s="21" t="s">
        <v>800</v>
      </c>
      <c r="F407" s="162" t="str">
        <f>IF(wskakunin_sekkei8_TOUROKU_KIKAN__label="","",wskakunin_sekkei8_TOUROKU_KIKAN__label)</f>
        <v/>
      </c>
      <c r="H407" s="22"/>
    </row>
    <row r="408" spans="1:8" ht="12">
      <c r="A408" s="35"/>
      <c r="B408" s="80" t="s">
        <v>404</v>
      </c>
      <c r="C408" s="21" t="s">
        <v>801</v>
      </c>
      <c r="D408" s="255" t="s">
        <v>112</v>
      </c>
      <c r="E408" s="21" t="s">
        <v>802</v>
      </c>
      <c r="F408" s="162" t="str">
        <f>IF(wskakunin_sekkei8_KENTIKUSI_NO="","",wskakunin_sekkei8_KENTIKUSI_NO)</f>
        <v/>
      </c>
      <c r="H408" s="22"/>
    </row>
    <row r="409" spans="1:8" ht="12">
      <c r="A409" s="47"/>
      <c r="B409" s="80" t="s">
        <v>194</v>
      </c>
      <c r="C409" s="21" t="s">
        <v>803</v>
      </c>
      <c r="D409" s="162" t="s">
        <v>112</v>
      </c>
      <c r="E409" s="21" t="s">
        <v>804</v>
      </c>
      <c r="F409" s="162" t="str">
        <f>IF(wskakunin_sekkei8_NAME="", "", wskakunin_sekkei8_NAME)</f>
        <v/>
      </c>
      <c r="H409" s="22"/>
    </row>
    <row r="410" spans="1:8" ht="12">
      <c r="A410" s="47"/>
      <c r="B410" s="80" t="s">
        <v>416</v>
      </c>
      <c r="C410" s="21" t="s">
        <v>805</v>
      </c>
      <c r="D410" s="162" t="s">
        <v>112</v>
      </c>
      <c r="E410" s="21" t="s">
        <v>806</v>
      </c>
      <c r="F410" s="162" t="str">
        <f>IF(wskakunin_sekkei8_JIMU__sikaku="", "", wskakunin_sekkei8_JIMU__sikaku)</f>
        <v/>
      </c>
      <c r="H410" s="22"/>
    </row>
    <row r="411" spans="1:8" ht="12">
      <c r="A411" s="47"/>
      <c r="B411" s="80" t="s">
        <v>420</v>
      </c>
      <c r="C411" s="21" t="s">
        <v>807</v>
      </c>
      <c r="D411" s="162" t="s">
        <v>112</v>
      </c>
      <c r="E411" s="21" t="s">
        <v>808</v>
      </c>
      <c r="F411" s="162" t="str">
        <f>IF(wskakunin_sekkei8_JIMU_SIKAKU__label="","",wskakunin_sekkei8_JIMU_SIKAKU__label)</f>
        <v/>
      </c>
      <c r="H411" s="22"/>
    </row>
    <row r="412" spans="1:8" ht="12">
      <c r="A412" s="47"/>
      <c r="B412" s="80" t="s">
        <v>423</v>
      </c>
      <c r="C412" s="21" t="s">
        <v>809</v>
      </c>
      <c r="D412" s="162" t="s">
        <v>112</v>
      </c>
      <c r="E412" s="21" t="s">
        <v>810</v>
      </c>
      <c r="F412" s="162" t="str">
        <f>IF(wskakunin_sekkei8_JIMU_TOUROKU_KIKAN__label="","",wskakunin_sekkei8_JIMU_TOUROKU_KIKAN__label)</f>
        <v/>
      </c>
      <c r="H412" s="22"/>
    </row>
    <row r="413" spans="1:8" ht="12">
      <c r="A413" s="47"/>
      <c r="B413" s="80" t="s">
        <v>427</v>
      </c>
      <c r="C413" s="21" t="s">
        <v>811</v>
      </c>
      <c r="D413" s="255" t="s">
        <v>112</v>
      </c>
      <c r="E413" s="21" t="s">
        <v>812</v>
      </c>
      <c r="F413" s="162" t="str">
        <f>IF(wskakunin_sekkei8_JIMU_NO="","",wskakunin_sekkei8_JIMU_NO)</f>
        <v/>
      </c>
      <c r="H413" s="22"/>
    </row>
    <row r="414" spans="1:8" ht="12">
      <c r="A414" s="63"/>
      <c r="B414" s="80" t="s">
        <v>431</v>
      </c>
      <c r="C414" s="21" t="s">
        <v>813</v>
      </c>
      <c r="D414" s="162" t="s">
        <v>112</v>
      </c>
      <c r="E414" s="21" t="s">
        <v>814</v>
      </c>
      <c r="F414" s="162" t="str">
        <f>IF(wskakunin_sekkei8_JIMU_NAME="", "", wskakunin_sekkei8_JIMU_NAME)</f>
        <v/>
      </c>
      <c r="H414" s="22"/>
    </row>
    <row r="415" spans="1:8" ht="12">
      <c r="A415" s="47"/>
      <c r="B415" s="80" t="s">
        <v>601</v>
      </c>
      <c r="D415" s="37"/>
      <c r="E415" s="21" t="s">
        <v>815</v>
      </c>
      <c r="F415" s="162" t="str">
        <f>wskakunin_sekkei8_JIMU_NAME&amp;" "&amp;wskakunin_sekkei8_NAME</f>
        <v xml:space="preserve"> </v>
      </c>
      <c r="H415" s="22"/>
    </row>
    <row r="416" spans="1:8" ht="12">
      <c r="A416" s="63"/>
      <c r="B416" s="80" t="s">
        <v>205</v>
      </c>
      <c r="C416" s="21" t="s">
        <v>816</v>
      </c>
      <c r="D416" s="255" t="s">
        <v>112</v>
      </c>
      <c r="E416" s="21" t="s">
        <v>817</v>
      </c>
      <c r="F416" s="162" t="str">
        <f>IF(wskakunin_sekkei8_ZIP="", "", wskakunin_sekkei8_ZIP)</f>
        <v/>
      </c>
      <c r="H416" s="22" t="s">
        <v>605</v>
      </c>
    </row>
    <row r="417" spans="1:8" ht="12">
      <c r="A417" s="63"/>
      <c r="B417" s="80" t="s">
        <v>438</v>
      </c>
      <c r="C417" s="21" t="s">
        <v>818</v>
      </c>
      <c r="D417" s="162" t="s">
        <v>112</v>
      </c>
      <c r="E417" s="21" t="s">
        <v>819</v>
      </c>
      <c r="F417" s="162" t="str">
        <f>IF(wskakunin_sekkei8__address="", "", wskakunin_sekkei8__address)</f>
        <v/>
      </c>
      <c r="H417" s="22"/>
    </row>
    <row r="418" spans="1:8" ht="12">
      <c r="A418" s="63"/>
      <c r="B418" s="80" t="s">
        <v>214</v>
      </c>
      <c r="C418" s="21" t="s">
        <v>820</v>
      </c>
      <c r="D418" s="255" t="s">
        <v>112</v>
      </c>
      <c r="E418" s="21" t="s">
        <v>821</v>
      </c>
      <c r="F418" s="162" t="str">
        <f>IF(wskakunin_sekkei8_TEL="", "", wskakunin_sekkei8_TEL)</f>
        <v/>
      </c>
      <c r="H418" s="22"/>
    </row>
    <row r="419" spans="1:8" ht="12">
      <c r="A419" s="63"/>
      <c r="B419" s="80" t="s">
        <v>610</v>
      </c>
      <c r="C419" s="21" t="s">
        <v>822</v>
      </c>
      <c r="D419" s="255" t="s">
        <v>112</v>
      </c>
      <c r="E419" s="21" t="s">
        <v>823</v>
      </c>
      <c r="F419" s="162" t="str">
        <f>IF(wskakunin_sekkei8_DOC="","",wskakunin_sekkei8_DOC)</f>
        <v/>
      </c>
      <c r="H419" s="22"/>
    </row>
    <row r="420" spans="1:8" ht="12">
      <c r="A420" s="63"/>
      <c r="B420" s="88"/>
      <c r="H420" s="22"/>
    </row>
    <row r="421" spans="1:8" ht="12">
      <c r="A421" s="8" t="s">
        <v>824</v>
      </c>
      <c r="B421" s="52"/>
      <c r="H421" s="22"/>
    </row>
    <row r="422" spans="1:8" ht="12">
      <c r="A422" s="30"/>
      <c r="B422" s="80" t="s">
        <v>392</v>
      </c>
      <c r="C422" s="21" t="s">
        <v>825</v>
      </c>
      <c r="D422" s="162" t="s">
        <v>112</v>
      </c>
      <c r="E422" s="21" t="s">
        <v>826</v>
      </c>
      <c r="F422" s="162" t="str">
        <f>IF(wskakunin_sekkei9__sikaku="", "", wskakunin_sekkei9__sikaku)</f>
        <v/>
      </c>
      <c r="H422" s="22"/>
    </row>
    <row r="423" spans="1:8" ht="12">
      <c r="A423" s="35"/>
      <c r="B423" s="80" t="s">
        <v>396</v>
      </c>
      <c r="C423" s="21" t="s">
        <v>827</v>
      </c>
      <c r="D423" s="162" t="s">
        <v>112</v>
      </c>
      <c r="E423" s="21" t="s">
        <v>828</v>
      </c>
      <c r="F423" s="162" t="str">
        <f>IF(wskakunin_sekkei9_SIKAKU__label="","",wskakunin_sekkei9_SIKAKU__label)</f>
        <v/>
      </c>
      <c r="H423" s="22"/>
    </row>
    <row r="424" spans="1:8" ht="12">
      <c r="A424" s="35"/>
      <c r="B424" s="80" t="s">
        <v>400</v>
      </c>
      <c r="C424" s="21" t="s">
        <v>829</v>
      </c>
      <c r="D424" s="162" t="s">
        <v>112</v>
      </c>
      <c r="E424" s="21" t="s">
        <v>830</v>
      </c>
      <c r="F424" s="162" t="str">
        <f>IF(wskakunin_sekkei9_TOUROKU_KIKAN__label="","",wskakunin_sekkei9_TOUROKU_KIKAN__label)</f>
        <v/>
      </c>
      <c r="H424" s="22"/>
    </row>
    <row r="425" spans="1:8" ht="12">
      <c r="A425" s="35"/>
      <c r="B425" s="80" t="s">
        <v>404</v>
      </c>
      <c r="C425" s="21" t="s">
        <v>831</v>
      </c>
      <c r="D425" s="255" t="s">
        <v>112</v>
      </c>
      <c r="E425" s="21" t="s">
        <v>832</v>
      </c>
      <c r="F425" s="162" t="str">
        <f>IF(wskakunin_sekkei9_KENTIKUSI_NO="","",wskakunin_sekkei9_KENTIKUSI_NO)</f>
        <v/>
      </c>
      <c r="H425" s="22"/>
    </row>
    <row r="426" spans="1:8" ht="12">
      <c r="A426" s="47"/>
      <c r="B426" s="80" t="s">
        <v>194</v>
      </c>
      <c r="C426" s="21" t="s">
        <v>833</v>
      </c>
      <c r="D426" s="162" t="s">
        <v>112</v>
      </c>
      <c r="E426" s="21" t="s">
        <v>834</v>
      </c>
      <c r="F426" s="162" t="str">
        <f>IF(wskakunin_sekkei9_NAME="", "", wskakunin_sekkei9_NAME)</f>
        <v/>
      </c>
      <c r="H426" s="22"/>
    </row>
    <row r="427" spans="1:8" ht="12">
      <c r="A427" s="47"/>
      <c r="B427" s="80" t="s">
        <v>416</v>
      </c>
      <c r="C427" s="21" t="s">
        <v>835</v>
      </c>
      <c r="D427" s="162" t="s">
        <v>112</v>
      </c>
      <c r="E427" s="21" t="s">
        <v>836</v>
      </c>
      <c r="F427" s="162" t="str">
        <f>IF(wskakunin_sekkei9_JIMU__sikaku="", "", wskakunin_sekkei9_JIMU__sikaku)</f>
        <v/>
      </c>
      <c r="H427" s="22"/>
    </row>
    <row r="428" spans="1:8" ht="12">
      <c r="A428" s="47"/>
      <c r="B428" s="80" t="s">
        <v>420</v>
      </c>
      <c r="C428" s="21" t="s">
        <v>837</v>
      </c>
      <c r="D428" s="162" t="s">
        <v>112</v>
      </c>
      <c r="E428" s="21" t="s">
        <v>838</v>
      </c>
      <c r="F428" s="162" t="str">
        <f>IF(wskakunin_sekkei9_JIMU_SIKAKU__label="","",wskakunin_sekkei9_JIMU_SIKAKU__label)</f>
        <v/>
      </c>
      <c r="H428" s="22"/>
    </row>
    <row r="429" spans="1:8" ht="12">
      <c r="A429" s="47"/>
      <c r="B429" s="80" t="s">
        <v>423</v>
      </c>
      <c r="C429" s="21" t="s">
        <v>839</v>
      </c>
      <c r="D429" s="162" t="s">
        <v>112</v>
      </c>
      <c r="E429" s="21" t="s">
        <v>840</v>
      </c>
      <c r="F429" s="162" t="str">
        <f>IF(wskakunin_sekkei9_JIMU_TOUROKU_KIKAN__label="","",wskakunin_sekkei9_JIMU_TOUROKU_KIKAN__label)</f>
        <v/>
      </c>
      <c r="H429" s="22"/>
    </row>
    <row r="430" spans="1:8" ht="12">
      <c r="A430" s="47"/>
      <c r="B430" s="80" t="s">
        <v>427</v>
      </c>
      <c r="C430" s="21" t="s">
        <v>841</v>
      </c>
      <c r="D430" s="255" t="s">
        <v>112</v>
      </c>
      <c r="E430" s="21" t="s">
        <v>842</v>
      </c>
      <c r="F430" s="162" t="str">
        <f>IF(wskakunin_sekkei9_JIMU_NO="","",wskakunin_sekkei9_JIMU_NO)</f>
        <v/>
      </c>
      <c r="H430" s="22"/>
    </row>
    <row r="431" spans="1:8" ht="12">
      <c r="A431" s="63"/>
      <c r="B431" s="80" t="s">
        <v>431</v>
      </c>
      <c r="C431" s="21" t="s">
        <v>843</v>
      </c>
      <c r="D431" s="162" t="s">
        <v>112</v>
      </c>
      <c r="E431" s="21" t="s">
        <v>844</v>
      </c>
      <c r="F431" s="162" t="str">
        <f>IF(wskakunin_sekkei9_JIMU_NAME="", "", wskakunin_sekkei9_JIMU_NAME)</f>
        <v/>
      </c>
      <c r="H431" s="22"/>
    </row>
    <row r="432" spans="1:8" ht="12">
      <c r="A432" s="47"/>
      <c r="B432" s="80" t="s">
        <v>601</v>
      </c>
      <c r="D432" s="37"/>
      <c r="E432" s="21" t="s">
        <v>845</v>
      </c>
      <c r="F432" s="162" t="str">
        <f>wskakunin_sekkei9_JIMU_NAME&amp;" "&amp;wskakunin_sekkei9_NAME</f>
        <v xml:space="preserve"> </v>
      </c>
      <c r="H432" s="22"/>
    </row>
    <row r="433" spans="1:8" ht="12">
      <c r="A433" s="63"/>
      <c r="B433" s="80" t="s">
        <v>205</v>
      </c>
      <c r="C433" s="21" t="s">
        <v>846</v>
      </c>
      <c r="D433" s="255" t="s">
        <v>112</v>
      </c>
      <c r="E433" s="21" t="s">
        <v>847</v>
      </c>
      <c r="F433" s="162" t="str">
        <f>IF(wskakunin_sekkei9_ZIP="", "", wskakunin_sekkei9_ZIP)</f>
        <v/>
      </c>
      <c r="H433" s="22" t="s">
        <v>605</v>
      </c>
    </row>
    <row r="434" spans="1:8" ht="12">
      <c r="A434" s="63"/>
      <c r="B434" s="80" t="s">
        <v>438</v>
      </c>
      <c r="C434" s="21" t="s">
        <v>848</v>
      </c>
      <c r="D434" s="162" t="s">
        <v>112</v>
      </c>
      <c r="E434" s="21" t="s">
        <v>849</v>
      </c>
      <c r="F434" s="162" t="str">
        <f>IF(wskakunin_sekkei9__address="", "", wskakunin_sekkei9__address)</f>
        <v/>
      </c>
      <c r="H434" s="22"/>
    </row>
    <row r="435" spans="1:8" ht="12">
      <c r="A435" s="63"/>
      <c r="B435" s="80" t="s">
        <v>214</v>
      </c>
      <c r="C435" s="21" t="s">
        <v>850</v>
      </c>
      <c r="D435" s="255" t="s">
        <v>112</v>
      </c>
      <c r="E435" s="21" t="s">
        <v>851</v>
      </c>
      <c r="F435" s="162" t="str">
        <f>IF(wskakunin_sekkei9_TEL="", "", wskakunin_sekkei9_TEL)</f>
        <v/>
      </c>
      <c r="H435" s="22"/>
    </row>
    <row r="436" spans="1:8" ht="12">
      <c r="A436" s="63"/>
      <c r="B436" s="80" t="s">
        <v>610</v>
      </c>
      <c r="C436" s="21" t="s">
        <v>852</v>
      </c>
      <c r="D436" s="255" t="s">
        <v>112</v>
      </c>
      <c r="E436" s="21" t="s">
        <v>853</v>
      </c>
      <c r="F436" s="162" t="str">
        <f>IF(wskakunin_sekkei9_DOC="","",wskakunin_sekkei9_DOC)</f>
        <v/>
      </c>
      <c r="H436" s="22"/>
    </row>
    <row r="437" spans="1:8" ht="12">
      <c r="A437" s="63"/>
      <c r="B437" s="88"/>
      <c r="H437" s="22"/>
    </row>
    <row r="438" spans="1:8" ht="12">
      <c r="A438" s="8" t="s">
        <v>854</v>
      </c>
      <c r="B438" s="52"/>
      <c r="H438" s="22"/>
    </row>
    <row r="439" spans="1:8" ht="12">
      <c r="A439" s="30"/>
      <c r="B439" s="80" t="s">
        <v>392</v>
      </c>
      <c r="C439" s="21" t="s">
        <v>855</v>
      </c>
      <c r="D439" s="162" t="s">
        <v>112</v>
      </c>
      <c r="E439" s="21" t="s">
        <v>856</v>
      </c>
      <c r="F439" s="162" t="str">
        <f>IF(wskakunin_sekkei10__sikaku="", "", wskakunin_sekkei10__sikaku)</f>
        <v/>
      </c>
      <c r="H439" s="22"/>
    </row>
    <row r="440" spans="1:8" ht="12">
      <c r="A440" s="35"/>
      <c r="B440" s="80" t="s">
        <v>396</v>
      </c>
      <c r="C440" s="21" t="s">
        <v>857</v>
      </c>
      <c r="D440" s="162" t="s">
        <v>112</v>
      </c>
      <c r="E440" s="21" t="s">
        <v>858</v>
      </c>
      <c r="F440" s="162" t="str">
        <f>IF(wskakunin_sekkei10_SIKAKU__label="","",wskakunin_sekkei10_SIKAKU__label)</f>
        <v/>
      </c>
      <c r="H440" s="22"/>
    </row>
    <row r="441" spans="1:8" ht="12">
      <c r="A441" s="35"/>
      <c r="B441" s="80" t="s">
        <v>400</v>
      </c>
      <c r="C441" s="21" t="s">
        <v>859</v>
      </c>
      <c r="D441" s="162" t="s">
        <v>112</v>
      </c>
      <c r="E441" s="21" t="s">
        <v>860</v>
      </c>
      <c r="F441" s="162" t="str">
        <f>IF(wskakunin_sekkei10_TOUROKU_KIKAN__label="","",wskakunin_sekkei10_TOUROKU_KIKAN__label)</f>
        <v/>
      </c>
      <c r="H441" s="22"/>
    </row>
    <row r="442" spans="1:8" ht="12">
      <c r="A442" s="35"/>
      <c r="B442" s="80" t="s">
        <v>404</v>
      </c>
      <c r="C442" s="21" t="s">
        <v>861</v>
      </c>
      <c r="D442" s="255" t="s">
        <v>112</v>
      </c>
      <c r="E442" s="21" t="s">
        <v>862</v>
      </c>
      <c r="F442" s="162" t="str">
        <f>IF(wskakunin_sekkei10_KENTIKUSI_NO="","",wskakunin_sekkei10_KENTIKUSI_NO)</f>
        <v/>
      </c>
      <c r="H442" s="22"/>
    </row>
    <row r="443" spans="1:8" ht="12">
      <c r="A443" s="47"/>
      <c r="B443" s="80" t="s">
        <v>194</v>
      </c>
      <c r="C443" s="21" t="s">
        <v>863</v>
      </c>
      <c r="D443" s="162" t="s">
        <v>112</v>
      </c>
      <c r="E443" s="21" t="s">
        <v>864</v>
      </c>
      <c r="F443" s="162" t="str">
        <f>IF(wskakunin_sekkei10_NAME="", "", wskakunin_sekkei10_NAME)</f>
        <v/>
      </c>
      <c r="H443" s="22"/>
    </row>
    <row r="444" spans="1:8" ht="12">
      <c r="A444" s="47"/>
      <c r="B444" s="80" t="s">
        <v>416</v>
      </c>
      <c r="C444" s="21" t="s">
        <v>865</v>
      </c>
      <c r="D444" s="162" t="s">
        <v>112</v>
      </c>
      <c r="E444" s="21" t="s">
        <v>866</v>
      </c>
      <c r="F444" s="162" t="str">
        <f>IF(wskakunin_sekkei10_JIMU__sikaku="", "", wskakunin_sekkei10_JIMU__sikaku)</f>
        <v/>
      </c>
      <c r="H444" s="22"/>
    </row>
    <row r="445" spans="1:8" ht="12">
      <c r="A445" s="47"/>
      <c r="B445" s="80" t="s">
        <v>420</v>
      </c>
      <c r="C445" s="21" t="s">
        <v>867</v>
      </c>
      <c r="D445" s="162" t="s">
        <v>112</v>
      </c>
      <c r="E445" s="21" t="s">
        <v>868</v>
      </c>
      <c r="F445" s="162" t="str">
        <f>IF(wskakunin_sekkei10_JIMU_SIKAKU__label="","",wskakunin_sekkei10_JIMU_SIKAKU__label)</f>
        <v/>
      </c>
      <c r="H445" s="22"/>
    </row>
    <row r="446" spans="1:8" ht="12">
      <c r="A446" s="47"/>
      <c r="B446" s="80" t="s">
        <v>423</v>
      </c>
      <c r="C446" s="21" t="s">
        <v>869</v>
      </c>
      <c r="D446" s="162" t="s">
        <v>112</v>
      </c>
      <c r="E446" s="21" t="s">
        <v>870</v>
      </c>
      <c r="F446" s="162" t="str">
        <f>IF(wskakunin_sekkei10_JIMU_TOUROKU_KIKAN__label="","",wskakunin_sekkei10_JIMU_TOUROKU_KIKAN__label)</f>
        <v/>
      </c>
      <c r="H446" s="22"/>
    </row>
    <row r="447" spans="1:8" ht="12">
      <c r="A447" s="47"/>
      <c r="B447" s="80" t="s">
        <v>427</v>
      </c>
      <c r="C447" s="21" t="s">
        <v>871</v>
      </c>
      <c r="D447" s="255" t="s">
        <v>112</v>
      </c>
      <c r="E447" s="21" t="s">
        <v>872</v>
      </c>
      <c r="F447" s="162" t="str">
        <f>IF(wskakunin_sekkei10_JIMU_NO="","",wskakunin_sekkei10_JIMU_NO)</f>
        <v/>
      </c>
      <c r="H447" s="22"/>
    </row>
    <row r="448" spans="1:8" ht="12">
      <c r="A448" s="63"/>
      <c r="B448" s="80" t="s">
        <v>431</v>
      </c>
      <c r="C448" s="21" t="s">
        <v>873</v>
      </c>
      <c r="D448" s="162" t="s">
        <v>112</v>
      </c>
      <c r="E448" s="21" t="s">
        <v>874</v>
      </c>
      <c r="F448" s="162" t="str">
        <f>IF(wskakunin_sekkei10_JIMU_NAME="", "", wskakunin_sekkei10_JIMU_NAME)</f>
        <v/>
      </c>
      <c r="H448" s="22"/>
    </row>
    <row r="449" spans="1:8" ht="12">
      <c r="A449" s="47"/>
      <c r="B449" s="80" t="s">
        <v>601</v>
      </c>
      <c r="D449" s="37"/>
      <c r="E449" s="21" t="s">
        <v>875</v>
      </c>
      <c r="F449" s="162" t="str">
        <f>wskakunin_sekkei10_JIMU_NAME&amp;" "&amp;wskakunin_sekkei10_NAME</f>
        <v xml:space="preserve"> </v>
      </c>
      <c r="H449" s="22"/>
    </row>
    <row r="450" spans="1:8" ht="12">
      <c r="A450" s="63"/>
      <c r="B450" s="80" t="s">
        <v>205</v>
      </c>
      <c r="C450" s="21" t="s">
        <v>876</v>
      </c>
      <c r="D450" s="255" t="s">
        <v>112</v>
      </c>
      <c r="E450" s="21" t="s">
        <v>877</v>
      </c>
      <c r="F450" s="162" t="str">
        <f>IF(wskakunin_sekkei10_ZIP="", "", wskakunin_sekkei10_ZIP)</f>
        <v/>
      </c>
      <c r="H450" s="22" t="s">
        <v>605</v>
      </c>
    </row>
    <row r="451" spans="1:8" ht="12">
      <c r="A451" s="63"/>
      <c r="B451" s="80" t="s">
        <v>438</v>
      </c>
      <c r="C451" s="21" t="s">
        <v>878</v>
      </c>
      <c r="D451" s="162" t="s">
        <v>112</v>
      </c>
      <c r="E451" s="21" t="s">
        <v>879</v>
      </c>
      <c r="F451" s="162" t="str">
        <f>IF(wskakunin_sekkei10__address="", "", wskakunin_sekkei10__address)</f>
        <v/>
      </c>
      <c r="H451" s="22"/>
    </row>
    <row r="452" spans="1:8" ht="12">
      <c r="A452" s="63"/>
      <c r="B452" s="80" t="s">
        <v>214</v>
      </c>
      <c r="C452" s="21" t="s">
        <v>880</v>
      </c>
      <c r="D452" s="255" t="s">
        <v>112</v>
      </c>
      <c r="E452" s="21" t="s">
        <v>881</v>
      </c>
      <c r="F452" s="162" t="str">
        <f>IF(wskakunin_sekkei10_TEL="", "", wskakunin_sekkei10_TEL)</f>
        <v/>
      </c>
      <c r="H452" s="22"/>
    </row>
    <row r="453" spans="1:8" ht="12">
      <c r="A453" s="63"/>
      <c r="B453" s="80" t="s">
        <v>610</v>
      </c>
      <c r="C453" s="21" t="s">
        <v>882</v>
      </c>
      <c r="D453" s="255" t="s">
        <v>112</v>
      </c>
      <c r="E453" s="21" t="s">
        <v>883</v>
      </c>
      <c r="F453" s="162" t="str">
        <f>IF(wskakunin_sekkei10_DOC="","",wskakunin_sekkei10_DOC)</f>
        <v/>
      </c>
      <c r="H453" s="22"/>
    </row>
    <row r="454" spans="1:8" ht="12">
      <c r="A454" s="63"/>
      <c r="B454" s="88"/>
      <c r="H454" s="22"/>
    </row>
    <row r="455" spans="1:8" ht="12">
      <c r="A455" s="8" t="s">
        <v>884</v>
      </c>
      <c r="B455" s="52"/>
      <c r="H455" s="22"/>
    </row>
    <row r="456" spans="1:8" ht="12">
      <c r="A456" s="30"/>
      <c r="B456" s="80" t="s">
        <v>392</v>
      </c>
      <c r="C456" s="21" t="s">
        <v>885</v>
      </c>
      <c r="D456" s="162" t="s">
        <v>112</v>
      </c>
      <c r="E456" s="21" t="s">
        <v>886</v>
      </c>
      <c r="F456" s="162" t="str">
        <f>IF(wskakunin_sekkei11__sikaku="", "", wskakunin_sekkei11__sikaku)</f>
        <v/>
      </c>
      <c r="H456" s="22"/>
    </row>
    <row r="457" spans="1:8" ht="12">
      <c r="A457" s="35"/>
      <c r="B457" s="80" t="s">
        <v>396</v>
      </c>
      <c r="C457" s="21" t="s">
        <v>887</v>
      </c>
      <c r="D457" s="162" t="s">
        <v>112</v>
      </c>
      <c r="E457" s="21" t="s">
        <v>888</v>
      </c>
      <c r="F457" s="162" t="str">
        <f>IF(wskakunin_sekkei11_SIKAKU__label="","",wskakunin_sekkei11_SIKAKU__label)</f>
        <v/>
      </c>
      <c r="H457" s="22"/>
    </row>
    <row r="458" spans="1:8" ht="12">
      <c r="A458" s="35"/>
      <c r="B458" s="80" t="s">
        <v>400</v>
      </c>
      <c r="C458" s="21" t="s">
        <v>889</v>
      </c>
      <c r="D458" s="162" t="s">
        <v>112</v>
      </c>
      <c r="E458" s="21" t="s">
        <v>890</v>
      </c>
      <c r="F458" s="162" t="str">
        <f>IF(wskakunin_sekkei11_TOUROKU_KIKAN__label="","",wskakunin_sekkei11_TOUROKU_KIKAN__label)</f>
        <v/>
      </c>
      <c r="H458" s="22"/>
    </row>
    <row r="459" spans="1:8" ht="12">
      <c r="A459" s="35"/>
      <c r="B459" s="80" t="s">
        <v>404</v>
      </c>
      <c r="C459" s="21" t="s">
        <v>891</v>
      </c>
      <c r="D459" s="255" t="s">
        <v>112</v>
      </c>
      <c r="E459" s="21" t="s">
        <v>892</v>
      </c>
      <c r="F459" s="162" t="str">
        <f>IF(wskakunin_sekkei11_KENTIKUSI_NO="","",wskakunin_sekkei11_KENTIKUSI_NO)</f>
        <v/>
      </c>
      <c r="H459" s="22"/>
    </row>
    <row r="460" spans="1:8" ht="12">
      <c r="A460" s="47"/>
      <c r="B460" s="80" t="s">
        <v>194</v>
      </c>
      <c r="C460" s="21" t="s">
        <v>893</v>
      </c>
      <c r="D460" s="162" t="s">
        <v>112</v>
      </c>
      <c r="E460" s="21" t="s">
        <v>894</v>
      </c>
      <c r="F460" s="162" t="str">
        <f>IF(wskakunin_sekkei11_NAME="", "", wskakunin_sekkei11_NAME)</f>
        <v/>
      </c>
      <c r="H460" s="22"/>
    </row>
    <row r="461" spans="1:8" ht="12">
      <c r="A461" s="47"/>
      <c r="B461" s="80" t="s">
        <v>416</v>
      </c>
      <c r="C461" s="21" t="s">
        <v>895</v>
      </c>
      <c r="D461" s="162" t="s">
        <v>112</v>
      </c>
      <c r="E461" s="21" t="s">
        <v>896</v>
      </c>
      <c r="F461" s="162" t="str">
        <f>IF(wskakunin_sekkei11_JIMU__sikaku="", "", wskakunin_sekkei11_JIMU__sikaku)</f>
        <v/>
      </c>
      <c r="H461" s="22"/>
    </row>
    <row r="462" spans="1:8" ht="12">
      <c r="A462" s="47"/>
      <c r="B462" s="80" t="s">
        <v>420</v>
      </c>
      <c r="C462" s="21" t="s">
        <v>897</v>
      </c>
      <c r="D462" s="162" t="s">
        <v>112</v>
      </c>
      <c r="E462" s="21" t="s">
        <v>898</v>
      </c>
      <c r="F462" s="162" t="str">
        <f>IF(wskakunin_sekkei11_JIMU_SIKAKU__label="","",wskakunin_sekkei11_JIMU_SIKAKU__label)</f>
        <v/>
      </c>
      <c r="H462" s="22"/>
    </row>
    <row r="463" spans="1:8" ht="12">
      <c r="A463" s="47"/>
      <c r="B463" s="80" t="s">
        <v>423</v>
      </c>
      <c r="C463" s="21" t="s">
        <v>899</v>
      </c>
      <c r="D463" s="162" t="s">
        <v>112</v>
      </c>
      <c r="E463" s="21" t="s">
        <v>900</v>
      </c>
      <c r="F463" s="162" t="str">
        <f>IF(wskakunin_sekkei11_JIMU_TOUROKU_KIKAN__label="","",wskakunin_sekkei11_JIMU_TOUROKU_KIKAN__label)</f>
        <v/>
      </c>
      <c r="H463" s="22"/>
    </row>
    <row r="464" spans="1:8" ht="12">
      <c r="A464" s="47"/>
      <c r="B464" s="80" t="s">
        <v>427</v>
      </c>
      <c r="C464" s="21" t="s">
        <v>901</v>
      </c>
      <c r="D464" s="255" t="s">
        <v>112</v>
      </c>
      <c r="E464" s="21" t="s">
        <v>902</v>
      </c>
      <c r="F464" s="162" t="str">
        <f>IF(wskakunin_sekkei11_JIMU_NO="","",wskakunin_sekkei11_JIMU_NO)</f>
        <v/>
      </c>
      <c r="H464" s="22"/>
    </row>
    <row r="465" spans="1:8" ht="12">
      <c r="A465" s="63"/>
      <c r="B465" s="80" t="s">
        <v>431</v>
      </c>
      <c r="C465" s="21" t="s">
        <v>903</v>
      </c>
      <c r="D465" s="162" t="s">
        <v>112</v>
      </c>
      <c r="E465" s="21" t="s">
        <v>904</v>
      </c>
      <c r="F465" s="162" t="str">
        <f>IF(wskakunin_sekkei11_JIMU_NAME="", "", wskakunin_sekkei11_JIMU_NAME)</f>
        <v/>
      </c>
      <c r="H465" s="22"/>
    </row>
    <row r="466" spans="1:8" ht="12">
      <c r="A466" s="47"/>
      <c r="B466" s="80" t="s">
        <v>601</v>
      </c>
      <c r="D466" s="37"/>
      <c r="E466" s="21" t="s">
        <v>905</v>
      </c>
      <c r="F466" s="162" t="str">
        <f>wskakunin_sekkei11_JIMU_NAME&amp;" "&amp;wskakunin_sekkei11_NAME</f>
        <v xml:space="preserve"> </v>
      </c>
      <c r="H466" s="22"/>
    </row>
    <row r="467" spans="1:8" ht="12">
      <c r="A467" s="63"/>
      <c r="B467" s="80" t="s">
        <v>205</v>
      </c>
      <c r="C467" s="21" t="s">
        <v>906</v>
      </c>
      <c r="D467" s="255" t="s">
        <v>112</v>
      </c>
      <c r="E467" s="21" t="s">
        <v>907</v>
      </c>
      <c r="F467" s="162" t="str">
        <f>IF(wskakunin_sekkei11_ZIP="", "", wskakunin_sekkei11_ZIP)</f>
        <v/>
      </c>
      <c r="H467" s="22" t="s">
        <v>605</v>
      </c>
    </row>
    <row r="468" spans="1:8" ht="12">
      <c r="A468" s="63"/>
      <c r="B468" s="80" t="s">
        <v>438</v>
      </c>
      <c r="C468" s="21" t="s">
        <v>908</v>
      </c>
      <c r="D468" s="162" t="s">
        <v>112</v>
      </c>
      <c r="E468" s="21" t="s">
        <v>909</v>
      </c>
      <c r="F468" s="162" t="str">
        <f>IF(wskakunin_sekkei11__address="", "", wskakunin_sekkei11__address)</f>
        <v/>
      </c>
      <c r="H468" s="22"/>
    </row>
    <row r="469" spans="1:8" ht="12">
      <c r="A469" s="63"/>
      <c r="B469" s="80" t="s">
        <v>214</v>
      </c>
      <c r="C469" s="21" t="s">
        <v>910</v>
      </c>
      <c r="D469" s="255" t="s">
        <v>112</v>
      </c>
      <c r="E469" s="21" t="s">
        <v>911</v>
      </c>
      <c r="F469" s="162" t="str">
        <f>IF(wskakunin_sekkei11_TEL="", "", wskakunin_sekkei11_TEL)</f>
        <v/>
      </c>
      <c r="H469" s="22"/>
    </row>
    <row r="470" spans="1:8" ht="12">
      <c r="A470" s="63"/>
      <c r="B470" s="80" t="s">
        <v>610</v>
      </c>
      <c r="C470" s="21" t="s">
        <v>912</v>
      </c>
      <c r="D470" s="255" t="s">
        <v>112</v>
      </c>
      <c r="E470" s="21" t="s">
        <v>913</v>
      </c>
      <c r="F470" s="162" t="str">
        <f>IF(wskakunin_sekkei11_DOC="","",wskakunin_sekkei11_DOC)</f>
        <v/>
      </c>
      <c r="H470" s="22"/>
    </row>
    <row r="471" spans="1:8" ht="12">
      <c r="A471" s="63"/>
      <c r="B471" s="88"/>
      <c r="G471" s="22"/>
      <c r="H471" s="22"/>
    </row>
    <row r="472" spans="1:8" ht="12">
      <c r="A472" s="8" t="s">
        <v>914</v>
      </c>
      <c r="B472" s="52"/>
      <c r="H472" s="22"/>
    </row>
    <row r="473" spans="1:8" ht="12">
      <c r="A473" s="30"/>
      <c r="B473" s="80" t="s">
        <v>392</v>
      </c>
      <c r="C473" s="21" t="s">
        <v>915</v>
      </c>
      <c r="D473" s="162" t="s">
        <v>112</v>
      </c>
      <c r="E473" s="21" t="s">
        <v>916</v>
      </c>
      <c r="F473" s="162" t="str">
        <f>IF(wskakunin_sekkei12__sikaku="", "", wskakunin_sekkei12__sikaku)</f>
        <v/>
      </c>
      <c r="H473" s="22"/>
    </row>
    <row r="474" spans="1:8" ht="12">
      <c r="A474" s="35"/>
      <c r="B474" s="80" t="s">
        <v>396</v>
      </c>
      <c r="C474" s="21" t="s">
        <v>917</v>
      </c>
      <c r="D474" s="162" t="s">
        <v>112</v>
      </c>
      <c r="E474" s="21" t="s">
        <v>918</v>
      </c>
      <c r="F474" s="162" t="str">
        <f>IF(wskakunin_sekkei12_SIKAKU__label="","",wskakunin_sekkei12_SIKAKU__label)</f>
        <v/>
      </c>
      <c r="H474" s="22"/>
    </row>
    <row r="475" spans="1:8" ht="12">
      <c r="A475" s="35"/>
      <c r="B475" s="80" t="s">
        <v>400</v>
      </c>
      <c r="C475" s="21" t="s">
        <v>919</v>
      </c>
      <c r="D475" s="162" t="s">
        <v>112</v>
      </c>
      <c r="E475" s="21" t="s">
        <v>920</v>
      </c>
      <c r="F475" s="162" t="str">
        <f>IF(wskakunin_sekkei12_TOUROKU_KIKAN__label="","",wskakunin_sekkei12_TOUROKU_KIKAN__label)</f>
        <v/>
      </c>
      <c r="H475" s="22"/>
    </row>
    <row r="476" spans="1:8" ht="12">
      <c r="A476" s="35"/>
      <c r="B476" s="80" t="s">
        <v>404</v>
      </c>
      <c r="C476" s="21" t="s">
        <v>921</v>
      </c>
      <c r="D476" s="255" t="s">
        <v>112</v>
      </c>
      <c r="E476" s="21" t="s">
        <v>922</v>
      </c>
      <c r="F476" s="162" t="str">
        <f>IF(wskakunin_sekkei12_KENTIKUSI_NO="","",wskakunin_sekkei12_KENTIKUSI_NO)</f>
        <v/>
      </c>
      <c r="H476" s="22"/>
    </row>
    <row r="477" spans="1:8" ht="12">
      <c r="A477" s="47"/>
      <c r="B477" s="80" t="s">
        <v>194</v>
      </c>
      <c r="C477" s="21" t="s">
        <v>923</v>
      </c>
      <c r="D477" s="162" t="s">
        <v>112</v>
      </c>
      <c r="E477" s="21" t="s">
        <v>924</v>
      </c>
      <c r="F477" s="162" t="str">
        <f>IF(wskakunin_sekkei12_NAME="", "", wskakunin_sekkei12_NAME)</f>
        <v/>
      </c>
      <c r="H477" s="22"/>
    </row>
    <row r="478" spans="1:8" ht="12">
      <c r="A478" s="47"/>
      <c r="B478" s="80" t="s">
        <v>416</v>
      </c>
      <c r="C478" s="21" t="s">
        <v>925</v>
      </c>
      <c r="D478" s="162" t="s">
        <v>112</v>
      </c>
      <c r="E478" s="21" t="s">
        <v>926</v>
      </c>
      <c r="F478" s="162" t="str">
        <f>IF(wskakunin_sekkei12_JIMU__sikaku="", "", wskakunin_sekkei12_JIMU__sikaku)</f>
        <v/>
      </c>
      <c r="H478" s="22"/>
    </row>
    <row r="479" spans="1:8" ht="12">
      <c r="A479" s="47"/>
      <c r="B479" s="80" t="s">
        <v>420</v>
      </c>
      <c r="C479" s="21" t="s">
        <v>927</v>
      </c>
      <c r="D479" s="162" t="s">
        <v>112</v>
      </c>
      <c r="E479" s="21" t="s">
        <v>928</v>
      </c>
      <c r="F479" s="162" t="str">
        <f>IF(wskakunin_sekkei12_JIMU_SIKAKU__label="","",wskakunin_sekkei12_JIMU_SIKAKU__label)</f>
        <v/>
      </c>
      <c r="H479" s="22"/>
    </row>
    <row r="480" spans="1:8" ht="12">
      <c r="A480" s="47"/>
      <c r="B480" s="80" t="s">
        <v>423</v>
      </c>
      <c r="C480" s="21" t="s">
        <v>929</v>
      </c>
      <c r="D480" s="162" t="s">
        <v>112</v>
      </c>
      <c r="E480" s="21" t="s">
        <v>930</v>
      </c>
      <c r="F480" s="162" t="str">
        <f>IF(wskakunin_sekkei12_JIMU_TOUROKU_KIKAN__label="","",wskakunin_sekkei12_JIMU_TOUROKU_KIKAN__label)</f>
        <v/>
      </c>
      <c r="H480" s="22"/>
    </row>
    <row r="481" spans="1:8" ht="12">
      <c r="A481" s="47"/>
      <c r="B481" s="80" t="s">
        <v>427</v>
      </c>
      <c r="C481" s="21" t="s">
        <v>931</v>
      </c>
      <c r="D481" s="255" t="s">
        <v>112</v>
      </c>
      <c r="E481" s="21" t="s">
        <v>932</v>
      </c>
      <c r="F481" s="162" t="str">
        <f>IF(wskakunin_sekkei12_JIMU_NO="","",wskakunin_sekkei12_JIMU_NO)</f>
        <v/>
      </c>
      <c r="H481" s="22"/>
    </row>
    <row r="482" spans="1:8" ht="12">
      <c r="A482" s="63"/>
      <c r="B482" s="80" t="s">
        <v>431</v>
      </c>
      <c r="C482" s="21" t="s">
        <v>933</v>
      </c>
      <c r="D482" s="162" t="s">
        <v>112</v>
      </c>
      <c r="E482" s="21" t="s">
        <v>934</v>
      </c>
      <c r="F482" s="162" t="str">
        <f>IF(wskakunin_sekkei12_JIMU_NAME="", "", wskakunin_sekkei12_JIMU_NAME)</f>
        <v/>
      </c>
      <c r="H482" s="22"/>
    </row>
    <row r="483" spans="1:8" ht="12">
      <c r="A483" s="47"/>
      <c r="B483" s="80" t="s">
        <v>601</v>
      </c>
      <c r="D483" s="37"/>
      <c r="E483" s="21" t="s">
        <v>935</v>
      </c>
      <c r="F483" s="162" t="str">
        <f>wskakunin_sekkei12_JIMU_NAME&amp;" "&amp;wskakunin_sekkei12_NAME</f>
        <v xml:space="preserve"> </v>
      </c>
      <c r="H483" s="22"/>
    </row>
    <row r="484" spans="1:8" ht="12">
      <c r="A484" s="63"/>
      <c r="B484" s="80" t="s">
        <v>205</v>
      </c>
      <c r="C484" s="21" t="s">
        <v>936</v>
      </c>
      <c r="D484" s="255" t="s">
        <v>112</v>
      </c>
      <c r="E484" s="21" t="s">
        <v>937</v>
      </c>
      <c r="F484" s="162" t="str">
        <f>IF(wskakunin_sekkei12_ZIP="", "", wskakunin_sekkei12_ZIP)</f>
        <v/>
      </c>
      <c r="H484" s="22" t="s">
        <v>605</v>
      </c>
    </row>
    <row r="485" spans="1:8" ht="12">
      <c r="A485" s="63"/>
      <c r="B485" s="80" t="s">
        <v>438</v>
      </c>
      <c r="C485" s="21" t="s">
        <v>938</v>
      </c>
      <c r="D485" s="162" t="s">
        <v>112</v>
      </c>
      <c r="E485" s="21" t="s">
        <v>939</v>
      </c>
      <c r="F485" s="162" t="str">
        <f>IF(wskakunin_sekkei12__address="", "", wskakunin_sekkei12__address)</f>
        <v/>
      </c>
      <c r="H485" s="22"/>
    </row>
    <row r="486" spans="1:8" ht="12">
      <c r="A486" s="63"/>
      <c r="B486" s="80" t="s">
        <v>214</v>
      </c>
      <c r="C486" s="21" t="s">
        <v>940</v>
      </c>
      <c r="D486" s="255" t="s">
        <v>112</v>
      </c>
      <c r="E486" s="21" t="s">
        <v>941</v>
      </c>
      <c r="F486" s="162" t="str">
        <f>IF(wskakunin_sekkei12_TEL="", "", wskakunin_sekkei12_TEL)</f>
        <v/>
      </c>
      <c r="H486" s="22"/>
    </row>
    <row r="487" spans="1:8" ht="12">
      <c r="A487" s="63"/>
      <c r="B487" s="80" t="s">
        <v>610</v>
      </c>
      <c r="C487" s="21" t="s">
        <v>942</v>
      </c>
      <c r="D487" s="255" t="s">
        <v>112</v>
      </c>
      <c r="E487" s="21" t="s">
        <v>943</v>
      </c>
      <c r="F487" s="162" t="str">
        <f>IF(wskakunin_sekkei12_DOC="","",wskakunin_sekkei12_DOC)</f>
        <v/>
      </c>
      <c r="H487" s="22"/>
    </row>
    <row r="488" spans="1:8" ht="12">
      <c r="A488" s="63"/>
      <c r="B488" s="88"/>
      <c r="G488" s="22"/>
      <c r="H488" s="22"/>
    </row>
    <row r="489" spans="1:8" s="23" customFormat="1" ht="12">
      <c r="A489" s="84" t="s">
        <v>944</v>
      </c>
      <c r="B489" s="104"/>
    </row>
    <row r="490" spans="1:8" s="23" customFormat="1" ht="12">
      <c r="A490" s="45" t="s">
        <v>945</v>
      </c>
      <c r="B490" s="105"/>
    </row>
    <row r="491" spans="1:8" s="23" customFormat="1" ht="12">
      <c r="A491" s="106"/>
      <c r="B491" s="77" t="s">
        <v>946</v>
      </c>
      <c r="C491" s="36" t="s">
        <v>947</v>
      </c>
      <c r="D491" s="264"/>
      <c r="E491" s="36" t="s">
        <v>948</v>
      </c>
      <c r="F491" s="266" t="str">
        <f>IF(wskakunin_20kouzou101_NAME="","",wskakunin_20kouzou101_NAME)</f>
        <v/>
      </c>
    </row>
    <row r="492" spans="1:8" s="23" customFormat="1" ht="12">
      <c r="A492" s="106"/>
      <c r="B492" s="77" t="s">
        <v>949</v>
      </c>
      <c r="C492" s="36" t="s">
        <v>950</v>
      </c>
      <c r="D492" s="264"/>
      <c r="E492" s="36" t="s">
        <v>951</v>
      </c>
      <c r="F492" s="267" t="str">
        <f>IF(wskakunin_20kouzou101_KOUZOUSEKKEI_KOUFU_NO="","",wskakunin_20kouzou101_KOUZOUSEKKEI_KOUFU_NO)</f>
        <v/>
      </c>
    </row>
    <row r="493" spans="1:8" s="23" customFormat="1" ht="12">
      <c r="A493" s="106"/>
      <c r="B493" s="77" t="s">
        <v>946</v>
      </c>
      <c r="C493" s="36" t="s">
        <v>952</v>
      </c>
      <c r="D493" s="264"/>
      <c r="E493" s="36" t="s">
        <v>953</v>
      </c>
      <c r="F493" s="267" t="str">
        <f>IF(wskakunin_20kouzou102_NAME="","",wskakunin_20kouzou102_NAME)</f>
        <v/>
      </c>
    </row>
    <row r="494" spans="1:8" s="23" customFormat="1" ht="12">
      <c r="A494" s="106"/>
      <c r="B494" s="77" t="s">
        <v>949</v>
      </c>
      <c r="C494" s="36" t="s">
        <v>954</v>
      </c>
      <c r="D494" s="264"/>
      <c r="E494" s="36" t="s">
        <v>955</v>
      </c>
      <c r="F494" s="267" t="str">
        <f>IF(wskakunin_20kouzou102_KOUZOUSEKKEI_KOUFU_NO="","",wskakunin_20kouzou102_KOUZOUSEKKEI_KOUFU_NO)</f>
        <v/>
      </c>
    </row>
    <row r="495" spans="1:8" s="23" customFormat="1" ht="12">
      <c r="A495" s="106"/>
      <c r="B495" s="77" t="s">
        <v>946</v>
      </c>
      <c r="C495" s="36" t="s">
        <v>956</v>
      </c>
      <c r="D495" s="264"/>
      <c r="E495" s="36" t="s">
        <v>957</v>
      </c>
      <c r="F495" s="267" t="str">
        <f>IF(wskakunin_20kouzou103_NAME="","",wskakunin_20kouzou103_NAME)</f>
        <v/>
      </c>
    </row>
    <row r="496" spans="1:8" s="23" customFormat="1" ht="12">
      <c r="A496" s="106"/>
      <c r="B496" s="77" t="s">
        <v>949</v>
      </c>
      <c r="C496" s="36" t="s">
        <v>958</v>
      </c>
      <c r="D496" s="264"/>
      <c r="E496" s="36" t="s">
        <v>959</v>
      </c>
      <c r="F496" s="267" t="str">
        <f>IF(wskakunin_20kouzou103_KOUZOUSEKKEI_KOUFU_NO="","",wskakunin_20kouzou103_KOUZOUSEKKEI_KOUFU_NO)</f>
        <v/>
      </c>
    </row>
    <row r="497" spans="1:6" s="23" customFormat="1" ht="12">
      <c r="A497" s="106"/>
      <c r="B497" s="77" t="s">
        <v>946</v>
      </c>
      <c r="C497" s="36" t="s">
        <v>960</v>
      </c>
      <c r="D497" s="264"/>
      <c r="E497" s="36" t="s">
        <v>961</v>
      </c>
      <c r="F497" s="267" t="str">
        <f>IF(wskakunin_20kouzou104_NAME="","",wskakunin_20kouzou104_NAME)</f>
        <v/>
      </c>
    </row>
    <row r="498" spans="1:6" s="23" customFormat="1" ht="12">
      <c r="A498" s="106"/>
      <c r="B498" s="77" t="s">
        <v>949</v>
      </c>
      <c r="C498" s="36" t="s">
        <v>962</v>
      </c>
      <c r="D498" s="264"/>
      <c r="E498" s="36" t="s">
        <v>963</v>
      </c>
      <c r="F498" s="267" t="str">
        <f>IF(wskakunin_20kouzou104_KOUZOUSEKKEI_KOUFU_NO="","",wskakunin_20kouzou104_KOUZOUSEKKEI_KOUFU_NO)</f>
        <v/>
      </c>
    </row>
    <row r="499" spans="1:6" s="23" customFormat="1" ht="12">
      <c r="A499" s="106"/>
      <c r="B499" s="77" t="s">
        <v>946</v>
      </c>
      <c r="C499" s="36" t="s">
        <v>964</v>
      </c>
      <c r="D499" s="265"/>
      <c r="E499" s="36" t="s">
        <v>965</v>
      </c>
      <c r="F499" s="267" t="str">
        <f>IF(wskakunin_20kouzou105_NAME="","",wskakunin_20kouzou105_NAME)</f>
        <v/>
      </c>
    </row>
    <row r="500" spans="1:6" s="23" customFormat="1" ht="12">
      <c r="A500" s="106"/>
      <c r="B500" s="77" t="s">
        <v>949</v>
      </c>
      <c r="C500" s="36" t="s">
        <v>966</v>
      </c>
      <c r="D500" s="264"/>
      <c r="E500" s="36" t="s">
        <v>967</v>
      </c>
      <c r="F500" s="267" t="str">
        <f>IF(wskakunin_20kouzou105_KOUZOUSEKKEI_KOUFU_NO="","",wskakunin_20kouzou105_KOUZOUSEKKEI_KOUFU_NO)</f>
        <v/>
      </c>
    </row>
    <row r="501" spans="1:6" ht="12">
      <c r="A501" s="53"/>
      <c r="B501" s="77"/>
    </row>
    <row r="502" spans="1:6" s="23" customFormat="1" ht="12">
      <c r="A502" s="45" t="s">
        <v>968</v>
      </c>
      <c r="B502" s="105"/>
      <c r="C502" s="225"/>
      <c r="D502" s="226"/>
      <c r="E502" s="225"/>
      <c r="F502" s="225"/>
    </row>
    <row r="503" spans="1:6" s="23" customFormat="1" ht="12">
      <c r="A503" s="106"/>
      <c r="B503" s="77" t="s">
        <v>946</v>
      </c>
      <c r="C503" s="36" t="s">
        <v>969</v>
      </c>
      <c r="D503" s="264"/>
      <c r="E503" s="36" t="s">
        <v>970</v>
      </c>
      <c r="F503" s="266" t="str">
        <f>IF(wskakunin_20kouzou301_NAME="","",wskakunin_20kouzou301_NAME)</f>
        <v/>
      </c>
    </row>
    <row r="504" spans="1:6" s="23" customFormat="1" ht="12">
      <c r="A504" s="106"/>
      <c r="B504" s="77" t="s">
        <v>949</v>
      </c>
      <c r="C504" s="225" t="s">
        <v>971</v>
      </c>
      <c r="D504" s="264"/>
      <c r="E504" s="225" t="s">
        <v>972</v>
      </c>
      <c r="F504" s="266" t="str">
        <f>IF(wskakunin_20kouzou301_KOUZOUSEKKEI_KOUFU_NO="","",wskakunin_20kouzou301_KOUZOUSEKKEI_KOUFU_NO)</f>
        <v/>
      </c>
    </row>
    <row r="505" spans="1:6" s="23" customFormat="1" ht="12">
      <c r="A505" s="106"/>
      <c r="B505" s="77" t="s">
        <v>946</v>
      </c>
      <c r="C505" s="225" t="s">
        <v>973</v>
      </c>
      <c r="D505" s="264"/>
      <c r="E505" s="225" t="s">
        <v>974</v>
      </c>
      <c r="F505" s="266" t="str">
        <f>IF(wskakunin_20kouzou302_NAME="","",wskakunin_20kouzou302_NAME)</f>
        <v/>
      </c>
    </row>
    <row r="506" spans="1:6" s="23" customFormat="1" ht="12">
      <c r="A506" s="106"/>
      <c r="B506" s="77" t="s">
        <v>949</v>
      </c>
      <c r="C506" s="225" t="s">
        <v>975</v>
      </c>
      <c r="D506" s="264"/>
      <c r="E506" s="225" t="s">
        <v>976</v>
      </c>
      <c r="F506" s="266" t="str">
        <f>IF(wskakunin_20kouzou302_KOUZOUSEKKEI_KOUFU_NO="","",wskakunin_20kouzou302_KOUZOUSEKKEI_KOUFU_NO)</f>
        <v/>
      </c>
    </row>
    <row r="507" spans="1:6" s="23" customFormat="1" ht="12">
      <c r="A507" s="106"/>
      <c r="B507" s="77" t="s">
        <v>946</v>
      </c>
      <c r="C507" s="225" t="s">
        <v>977</v>
      </c>
      <c r="D507" s="264"/>
      <c r="E507" s="225" t="s">
        <v>978</v>
      </c>
      <c r="F507" s="266" t="str">
        <f>IF(wskakunin_20kouzou303_NAME="","",wskakunin_20kouzou303_NAME)</f>
        <v/>
      </c>
    </row>
    <row r="508" spans="1:6" s="23" customFormat="1" ht="12">
      <c r="A508" s="106"/>
      <c r="B508" s="77" t="s">
        <v>949</v>
      </c>
      <c r="C508" s="225" t="s">
        <v>979</v>
      </c>
      <c r="D508" s="264"/>
      <c r="E508" s="225" t="s">
        <v>980</v>
      </c>
      <c r="F508" s="266" t="str">
        <f>IF(wskakunin_20kouzou303_KOUZOUSEKKEI_KOUFU_NO="","",wskakunin_20kouzou303_KOUZOUSEKKEI_KOUFU_NO)</f>
        <v/>
      </c>
    </row>
    <row r="509" spans="1:6" s="23" customFormat="1" ht="12">
      <c r="A509" s="106"/>
      <c r="B509" s="77" t="s">
        <v>946</v>
      </c>
      <c r="C509" s="225" t="s">
        <v>981</v>
      </c>
      <c r="D509" s="264"/>
      <c r="E509" s="225" t="s">
        <v>982</v>
      </c>
      <c r="F509" s="266" t="str">
        <f>IF(wskakunin_20kouzou304_NAME="","",wskakunin_20kouzou304_NAME)</f>
        <v/>
      </c>
    </row>
    <row r="510" spans="1:6" s="23" customFormat="1" ht="12">
      <c r="A510" s="106"/>
      <c r="B510" s="77" t="s">
        <v>949</v>
      </c>
      <c r="C510" s="225" t="s">
        <v>983</v>
      </c>
      <c r="D510" s="264"/>
      <c r="E510" s="225" t="s">
        <v>984</v>
      </c>
      <c r="F510" s="266" t="str">
        <f>IF(wskakunin_20kouzou304_KOUZOUSEKKEI_KOUFU_NO="","",wskakunin_20kouzou304_KOUZOUSEKKEI_KOUFU_NO)</f>
        <v/>
      </c>
    </row>
    <row r="511" spans="1:6" s="23" customFormat="1" ht="12">
      <c r="A511" s="106"/>
      <c r="B511" s="77" t="s">
        <v>946</v>
      </c>
      <c r="C511" s="225" t="s">
        <v>985</v>
      </c>
      <c r="D511" s="264"/>
      <c r="E511" s="225" t="s">
        <v>986</v>
      </c>
      <c r="F511" s="266" t="str">
        <f>IF(wskakunin_20kouzou305_NAME="","",wskakunin_20kouzou305_NAME)</f>
        <v/>
      </c>
    </row>
    <row r="512" spans="1:6" s="23" customFormat="1" ht="12">
      <c r="A512" s="106"/>
      <c r="B512" s="77" t="s">
        <v>949</v>
      </c>
      <c r="C512" s="225" t="s">
        <v>987</v>
      </c>
      <c r="D512" s="264"/>
      <c r="E512" s="225" t="s">
        <v>988</v>
      </c>
      <c r="F512" s="266" t="str">
        <f>IF(wskakunin_20kouzou305_KOUZOUSEKKEI_KOUFU_NO="","",wskakunin_20kouzou305_KOUZOUSEKKEI_KOUFU_NO)</f>
        <v/>
      </c>
    </row>
    <row r="513" spans="1:6" ht="12">
      <c r="A513" s="53"/>
      <c r="B513" s="77"/>
    </row>
    <row r="514" spans="1:6" s="23" customFormat="1" ht="12">
      <c r="A514" s="45" t="s">
        <v>989</v>
      </c>
      <c r="B514" s="105"/>
      <c r="C514" s="225"/>
      <c r="D514" s="226"/>
      <c r="E514" s="225"/>
      <c r="F514" s="225"/>
    </row>
    <row r="515" spans="1:6" s="23" customFormat="1" ht="12">
      <c r="A515" s="106"/>
      <c r="B515" s="77" t="s">
        <v>946</v>
      </c>
      <c r="C515" s="36" t="s">
        <v>990</v>
      </c>
      <c r="D515" s="264"/>
      <c r="E515" s="36" t="s">
        <v>991</v>
      </c>
      <c r="F515" s="267" t="str">
        <f>IF(wskakunin_20setubi101_NAME="","",wskakunin_20setubi101_NAME)</f>
        <v/>
      </c>
    </row>
    <row r="516" spans="1:6" s="23" customFormat="1" ht="12">
      <c r="A516" s="106"/>
      <c r="B516" s="77" t="s">
        <v>992</v>
      </c>
      <c r="C516" s="36" t="s">
        <v>993</v>
      </c>
      <c r="D516" s="264"/>
      <c r="E516" s="36" t="s">
        <v>994</v>
      </c>
      <c r="F516" s="267" t="str">
        <f>IF(wskakunin_20setubi101_SETUBISEKKEI_KOUFU_NO="","",wskakunin_20setubi101_SETUBISEKKEI_KOUFU_NO)</f>
        <v/>
      </c>
    </row>
    <row r="517" spans="1:6" s="23" customFormat="1" ht="12">
      <c r="A517" s="106"/>
      <c r="B517" s="77" t="s">
        <v>946</v>
      </c>
      <c r="C517" s="36" t="s">
        <v>995</v>
      </c>
      <c r="D517" s="264"/>
      <c r="E517" s="36" t="s">
        <v>996</v>
      </c>
      <c r="F517" s="267" t="str">
        <f>IF(wskakunin_20setubi102_NAME="","",wskakunin_20setubi102_NAME)</f>
        <v/>
      </c>
    </row>
    <row r="518" spans="1:6" s="23" customFormat="1" ht="12">
      <c r="A518" s="106"/>
      <c r="B518" s="77" t="s">
        <v>992</v>
      </c>
      <c r="C518" s="36" t="s">
        <v>997</v>
      </c>
      <c r="D518" s="264"/>
      <c r="E518" s="36" t="s">
        <v>998</v>
      </c>
      <c r="F518" s="267" t="str">
        <f>IF(wskakunin_20setubi102_SETUBISEKKEI_KOUFU_NO="","",wskakunin_20setubi102_SETUBISEKKEI_KOUFU_NO)</f>
        <v/>
      </c>
    </row>
    <row r="519" spans="1:6" s="23" customFormat="1" ht="12">
      <c r="A519" s="106"/>
      <c r="B519" s="77" t="s">
        <v>946</v>
      </c>
      <c r="C519" s="36" t="s">
        <v>999</v>
      </c>
      <c r="D519" s="264"/>
      <c r="E519" s="36" t="s">
        <v>1000</v>
      </c>
      <c r="F519" s="267" t="str">
        <f>IF(wskakunin_20setubi103_NAME="","",wskakunin_20setubi103_NAME)</f>
        <v/>
      </c>
    </row>
    <row r="520" spans="1:6" s="23" customFormat="1" ht="12">
      <c r="A520" s="106"/>
      <c r="B520" s="77" t="s">
        <v>992</v>
      </c>
      <c r="C520" s="36" t="s">
        <v>1001</v>
      </c>
      <c r="D520" s="264"/>
      <c r="E520" s="36" t="s">
        <v>1002</v>
      </c>
      <c r="F520" s="267" t="str">
        <f>IF(wskakunin_20setubi103_SETUBISEKKEI_KOUFU_NO="","",wskakunin_20setubi103_SETUBISEKKEI_KOUFU_NO)</f>
        <v/>
      </c>
    </row>
    <row r="521" spans="1:6" s="23" customFormat="1" ht="12">
      <c r="A521" s="106"/>
      <c r="B521" s="77" t="s">
        <v>946</v>
      </c>
      <c r="C521" s="36" t="s">
        <v>1003</v>
      </c>
      <c r="D521" s="264"/>
      <c r="E521" s="36" t="s">
        <v>1004</v>
      </c>
      <c r="F521" s="267" t="str">
        <f>IF(wskakunin_20setubi104_NAME="","",wskakunin_20setubi104_NAME)</f>
        <v/>
      </c>
    </row>
    <row r="522" spans="1:6" s="23" customFormat="1" ht="12">
      <c r="A522" s="106"/>
      <c r="B522" s="77" t="s">
        <v>992</v>
      </c>
      <c r="C522" s="36" t="s">
        <v>1005</v>
      </c>
      <c r="D522" s="264"/>
      <c r="E522" s="36" t="s">
        <v>1006</v>
      </c>
      <c r="F522" s="267" t="str">
        <f>IF(wskakunin_20setubi104_SETUBISEKKEI_KOUFU_NO="","",wskakunin_20setubi104_SETUBISEKKEI_KOUFU_NO)</f>
        <v/>
      </c>
    </row>
    <row r="523" spans="1:6" s="23" customFormat="1" ht="12">
      <c r="A523" s="106"/>
      <c r="B523" s="77" t="s">
        <v>946</v>
      </c>
      <c r="C523" s="36" t="s">
        <v>1007</v>
      </c>
      <c r="D523" s="264"/>
      <c r="E523" s="36" t="s">
        <v>1008</v>
      </c>
      <c r="F523" s="267" t="str">
        <f>IF(wskakunin_20setubi105_NAME="","",wskakunin_20setubi105_NAME)</f>
        <v/>
      </c>
    </row>
    <row r="524" spans="1:6" s="23" customFormat="1" ht="12">
      <c r="A524" s="106"/>
      <c r="B524" s="77" t="s">
        <v>992</v>
      </c>
      <c r="C524" s="36" t="s">
        <v>1009</v>
      </c>
      <c r="D524" s="264"/>
      <c r="E524" s="36" t="s">
        <v>1010</v>
      </c>
      <c r="F524" s="267" t="str">
        <f>IF(wskakunin_20setubi105_SETUBISEKKEI_KOUFU_NO="","",wskakunin_20setubi105_SETUBISEKKEI_KOUFU_NO)</f>
        <v/>
      </c>
    </row>
    <row r="525" spans="1:6" ht="12">
      <c r="A525" s="53"/>
      <c r="B525" s="77"/>
    </row>
    <row r="526" spans="1:6" s="23" customFormat="1" ht="12">
      <c r="A526" s="45" t="s">
        <v>1011</v>
      </c>
      <c r="B526" s="105"/>
      <c r="C526" s="225"/>
      <c r="D526" s="226"/>
      <c r="E526" s="225"/>
      <c r="F526" s="225"/>
    </row>
    <row r="527" spans="1:6" s="23" customFormat="1" ht="12">
      <c r="A527" s="106"/>
      <c r="B527" s="77" t="s">
        <v>946</v>
      </c>
      <c r="C527" s="36" t="s">
        <v>1012</v>
      </c>
      <c r="D527" s="264"/>
      <c r="E527" s="36" t="s">
        <v>1013</v>
      </c>
      <c r="F527" s="267" t="str">
        <f>IF(wskakunin_20setubi301_NAME="","",wskakunin_20setubi301_NAME)</f>
        <v/>
      </c>
    </row>
    <row r="528" spans="1:6" s="23" customFormat="1" ht="12">
      <c r="A528" s="106"/>
      <c r="B528" s="77" t="s">
        <v>992</v>
      </c>
      <c r="C528" s="36" t="s">
        <v>1014</v>
      </c>
      <c r="D528" s="264"/>
      <c r="E528" s="36" t="s">
        <v>1015</v>
      </c>
      <c r="F528" s="267" t="str">
        <f>IF(wskakunin_20setubi301_SETUBISEKKEI_KOUFU_NO="","",wskakunin_20setubi301_SETUBISEKKEI_KOUFU_NO)</f>
        <v/>
      </c>
    </row>
    <row r="529" spans="1:22" s="23" customFormat="1" ht="12">
      <c r="A529" s="106"/>
      <c r="B529" s="77" t="s">
        <v>946</v>
      </c>
      <c r="C529" s="36" t="s">
        <v>1016</v>
      </c>
      <c r="D529" s="264"/>
      <c r="E529" s="36" t="s">
        <v>1017</v>
      </c>
      <c r="F529" s="267" t="str">
        <f>IF(wskakunin_20setubi302_NAME="","",wskakunin_20setubi302_NAME)</f>
        <v/>
      </c>
    </row>
    <row r="530" spans="1:22" s="23" customFormat="1" ht="12">
      <c r="A530" s="106"/>
      <c r="B530" s="77" t="s">
        <v>992</v>
      </c>
      <c r="C530" s="36" t="s">
        <v>1018</v>
      </c>
      <c r="D530" s="264"/>
      <c r="E530" s="36" t="s">
        <v>1019</v>
      </c>
      <c r="F530" s="267" t="str">
        <f>IF(wskakunin_20setubi302_SETUBISEKKEI_KOUFU_NO="","",wskakunin_20setubi302_SETUBISEKKEI_KOUFU_NO)</f>
        <v/>
      </c>
    </row>
    <row r="531" spans="1:22" s="23" customFormat="1" ht="12">
      <c r="A531" s="106"/>
      <c r="B531" s="77" t="s">
        <v>946</v>
      </c>
      <c r="C531" s="36" t="s">
        <v>1020</v>
      </c>
      <c r="D531" s="264"/>
      <c r="E531" s="36" t="s">
        <v>1021</v>
      </c>
      <c r="F531" s="267" t="str">
        <f>IF(wskakunin_20setubi303_NAME="","",wskakunin_20setubi303_NAME)</f>
        <v/>
      </c>
    </row>
    <row r="532" spans="1:22" s="23" customFormat="1" ht="12">
      <c r="A532" s="106"/>
      <c r="B532" s="77" t="s">
        <v>992</v>
      </c>
      <c r="C532" s="36" t="s">
        <v>1022</v>
      </c>
      <c r="D532" s="264"/>
      <c r="E532" s="36" t="s">
        <v>1023</v>
      </c>
      <c r="F532" s="267" t="str">
        <f>IF(wskakunin_20setubi303_SETUBISEKKEI_KOUFU_NO="","",wskakunin_20setubi303_SETUBISEKKEI_KOUFU_NO)</f>
        <v/>
      </c>
    </row>
    <row r="533" spans="1:22" s="23" customFormat="1" ht="12">
      <c r="A533" s="106"/>
      <c r="B533" s="77" t="s">
        <v>946</v>
      </c>
      <c r="C533" s="36" t="s">
        <v>1024</v>
      </c>
      <c r="D533" s="264"/>
      <c r="E533" s="36" t="s">
        <v>1025</v>
      </c>
      <c r="F533" s="267" t="str">
        <f>IF(wskakunin_20setubi304_NAME="","",wskakunin_20setubi304_NAME)</f>
        <v/>
      </c>
    </row>
    <row r="534" spans="1:22" s="23" customFormat="1" ht="12">
      <c r="A534" s="106"/>
      <c r="B534" s="77" t="s">
        <v>992</v>
      </c>
      <c r="C534" s="36" t="s">
        <v>1026</v>
      </c>
      <c r="D534" s="264"/>
      <c r="E534" s="36" t="s">
        <v>1027</v>
      </c>
      <c r="F534" s="267" t="str">
        <f>IF(wskakunin_20setubi304_SETUBISEKKEI_KOUFU_NO="","",wskakunin_20setubi304_SETUBISEKKEI_KOUFU_NO)</f>
        <v/>
      </c>
    </row>
    <row r="535" spans="1:22" s="23" customFormat="1" ht="12">
      <c r="A535" s="106"/>
      <c r="B535" s="77" t="s">
        <v>946</v>
      </c>
      <c r="C535" s="36" t="s">
        <v>1028</v>
      </c>
      <c r="D535" s="264"/>
      <c r="E535" s="36" t="s">
        <v>1029</v>
      </c>
      <c r="F535" s="267" t="str">
        <f>IF(wskakunin_20setubi305_NAME="","",wskakunin_20setubi305_NAME)</f>
        <v/>
      </c>
    </row>
    <row r="536" spans="1:22" s="23" customFormat="1" ht="12">
      <c r="A536" s="106"/>
      <c r="B536" s="77" t="s">
        <v>992</v>
      </c>
      <c r="C536" s="36" t="s">
        <v>1030</v>
      </c>
      <c r="D536" s="264"/>
      <c r="E536" s="36" t="s">
        <v>1031</v>
      </c>
      <c r="F536" s="267" t="str">
        <f>IF(wskakunin_20setubi305_SETUBISEKKEI_KOUFU_NO="","",wskakunin_20setubi305_SETUBISEKKEI_KOUFU_NO)</f>
        <v/>
      </c>
    </row>
    <row r="537" spans="1:22" ht="12">
      <c r="A537" s="54"/>
      <c r="B537" s="78"/>
    </row>
    <row r="538" spans="1:22" s="22" customFormat="1" ht="12">
      <c r="A538" s="40" t="s">
        <v>1032</v>
      </c>
      <c r="B538" s="41"/>
      <c r="C538" s="37"/>
      <c r="D538" s="37"/>
      <c r="E538" s="37"/>
    </row>
    <row r="539" spans="1:22" s="22" customFormat="1" ht="12">
      <c r="A539" s="43" t="s">
        <v>1033</v>
      </c>
      <c r="B539" s="44"/>
      <c r="C539" s="37"/>
      <c r="D539" s="37"/>
      <c r="E539" s="37"/>
    </row>
    <row r="540" spans="1:22" s="38" customFormat="1" ht="12">
      <c r="A540" s="42"/>
      <c r="B540" s="81" t="s">
        <v>946</v>
      </c>
      <c r="C540" s="21" t="s">
        <v>1034</v>
      </c>
      <c r="D540" s="255" t="s">
        <v>112</v>
      </c>
      <c r="E540" s="21" t="s">
        <v>1035</v>
      </c>
      <c r="F540" s="47" t="str">
        <f>IF(wskakunin_iken1_NAME="","",wskakunin_iken1_NAME)</f>
        <v/>
      </c>
      <c r="G540" s="22"/>
    </row>
    <row r="541" spans="1:22" s="38" customFormat="1" ht="12">
      <c r="A541" s="42"/>
      <c r="B541" s="81" t="s">
        <v>1036</v>
      </c>
      <c r="C541" s="21" t="s">
        <v>1037</v>
      </c>
      <c r="D541" s="256" t="s">
        <v>112</v>
      </c>
      <c r="E541" s="21" t="s">
        <v>1038</v>
      </c>
      <c r="F541" s="47" t="str">
        <f>IF(wskakunin_iken1_JIMU_NAME="","",wskakunin_iken1_JIMU_NAME)</f>
        <v/>
      </c>
      <c r="G541" s="22"/>
    </row>
    <row r="542" spans="1:22" s="38" customFormat="1" ht="12">
      <c r="A542" s="42"/>
      <c r="B542" s="81" t="s">
        <v>1039</v>
      </c>
      <c r="C542" s="21" t="s">
        <v>1040</v>
      </c>
      <c r="D542" s="256" t="s">
        <v>112</v>
      </c>
      <c r="E542" s="21" t="s">
        <v>1041</v>
      </c>
      <c r="F542" s="47" t="str">
        <f>IF(wskakunin_iken1_ZIP="","",wskakunin_iken1_ZIP)</f>
        <v/>
      </c>
      <c r="G542" s="22"/>
      <c r="I542" s="39"/>
      <c r="J542" s="39"/>
      <c r="K542" s="39"/>
      <c r="L542" s="39"/>
      <c r="M542" s="39"/>
      <c r="N542" s="39"/>
      <c r="O542" s="39"/>
      <c r="P542" s="39"/>
      <c r="Q542" s="39"/>
      <c r="R542" s="39"/>
      <c r="S542" s="39"/>
      <c r="T542" s="39"/>
      <c r="U542" s="39"/>
      <c r="V542" s="39"/>
    </row>
    <row r="543" spans="1:22" s="38" customFormat="1" ht="12">
      <c r="A543" s="42"/>
      <c r="B543" s="81" t="s">
        <v>1042</v>
      </c>
      <c r="C543" s="21" t="s">
        <v>1043</v>
      </c>
      <c r="D543" s="256" t="s">
        <v>112</v>
      </c>
      <c r="E543" s="21" t="s">
        <v>1044</v>
      </c>
      <c r="F543" s="47" t="str">
        <f>IF(wskakunin_iken1__address="","",wskakunin_iken1__address)</f>
        <v/>
      </c>
      <c r="G543" s="22"/>
      <c r="I543" s="39"/>
      <c r="J543" s="39"/>
      <c r="K543" s="39"/>
      <c r="L543" s="39"/>
      <c r="M543" s="39"/>
      <c r="N543" s="39"/>
      <c r="O543" s="39"/>
      <c r="P543" s="39"/>
      <c r="Q543" s="39"/>
      <c r="R543" s="39"/>
      <c r="S543" s="39"/>
      <c r="T543" s="39"/>
      <c r="U543" s="39"/>
      <c r="V543" s="39"/>
    </row>
    <row r="544" spans="1:22" s="38" customFormat="1" ht="12">
      <c r="A544" s="42"/>
      <c r="B544" s="81" t="s">
        <v>1045</v>
      </c>
      <c r="C544" s="21" t="s">
        <v>1046</v>
      </c>
      <c r="D544" s="256" t="s">
        <v>112</v>
      </c>
      <c r="E544" s="21" t="s">
        <v>1047</v>
      </c>
      <c r="F544" s="47" t="str">
        <f>IF(wskakunin_iken1_TEL="","",wskakunin_iken1_TEL)</f>
        <v/>
      </c>
      <c r="G544" s="22"/>
      <c r="I544" s="39"/>
      <c r="J544" s="39"/>
      <c r="K544" s="39"/>
      <c r="L544" s="39"/>
      <c r="M544" s="39"/>
      <c r="N544" s="39"/>
      <c r="O544" s="39"/>
      <c r="P544" s="39"/>
      <c r="Q544" s="39"/>
      <c r="R544" s="39"/>
      <c r="S544" s="39"/>
      <c r="T544" s="39"/>
      <c r="U544" s="39"/>
      <c r="V544" s="39"/>
    </row>
    <row r="545" spans="1:22" s="38" customFormat="1" ht="12">
      <c r="A545" s="42"/>
      <c r="B545" s="81" t="s">
        <v>1048</v>
      </c>
      <c r="C545" s="21" t="s">
        <v>1049</v>
      </c>
      <c r="D545" s="256" t="s">
        <v>112</v>
      </c>
      <c r="E545" s="21" t="s">
        <v>1050</v>
      </c>
      <c r="F545" s="47" t="str">
        <f>IF(wskakunin_iken1_IKEN_NO="","",wskakunin_iken1_IKEN_NO)</f>
        <v/>
      </c>
      <c r="G545" s="22"/>
    </row>
    <row r="546" spans="1:22" s="22" customFormat="1" ht="12">
      <c r="A546" s="40"/>
      <c r="B546" s="82" t="s">
        <v>1051</v>
      </c>
      <c r="C546" s="37" t="s">
        <v>1052</v>
      </c>
      <c r="D546" s="255" t="s">
        <v>112</v>
      </c>
      <c r="E546" s="37" t="s">
        <v>1053</v>
      </c>
      <c r="F546" s="162" t="str">
        <f>IF(wskakunin_iken1_DOC="","",wskakunin_iken1_DOC)</f>
        <v/>
      </c>
    </row>
    <row r="547" spans="1:22" s="22" customFormat="1" ht="12">
      <c r="A547" s="40"/>
      <c r="B547" s="83"/>
      <c r="C547" s="37"/>
    </row>
    <row r="548" spans="1:22" s="22" customFormat="1" ht="12">
      <c r="A548" s="43" t="s">
        <v>1054</v>
      </c>
      <c r="B548" s="44"/>
      <c r="C548" s="37"/>
      <c r="D548" s="37"/>
    </row>
    <row r="549" spans="1:22" s="38" customFormat="1" ht="12">
      <c r="A549" s="42"/>
      <c r="B549" s="81" t="s">
        <v>946</v>
      </c>
      <c r="C549" s="21" t="s">
        <v>1055</v>
      </c>
      <c r="D549" s="268" t="s">
        <v>112</v>
      </c>
      <c r="E549" s="21" t="s">
        <v>1056</v>
      </c>
      <c r="F549" s="47" t="str">
        <f>IF(wskakunin_iken2_NAME="","",wskakunin_iken2_NAME)</f>
        <v/>
      </c>
      <c r="G549" s="22"/>
    </row>
    <row r="550" spans="1:22" s="38" customFormat="1" ht="12">
      <c r="A550" s="42"/>
      <c r="B550" s="81" t="s">
        <v>1036</v>
      </c>
      <c r="C550" s="21" t="s">
        <v>1057</v>
      </c>
      <c r="D550" s="268" t="s">
        <v>112</v>
      </c>
      <c r="E550" s="21" t="s">
        <v>1058</v>
      </c>
      <c r="F550" s="47" t="str">
        <f>IF(wskakunin_iken2_JIMU_NAME="","",wskakunin_iken2_JIMU_NAME)</f>
        <v/>
      </c>
      <c r="G550" s="22"/>
    </row>
    <row r="551" spans="1:22" s="38" customFormat="1" ht="12">
      <c r="A551" s="42"/>
      <c r="B551" s="81" t="s">
        <v>1039</v>
      </c>
      <c r="C551" s="21" t="s">
        <v>1059</v>
      </c>
      <c r="D551" s="268" t="s">
        <v>112</v>
      </c>
      <c r="E551" s="21" t="s">
        <v>1060</v>
      </c>
      <c r="F551" s="47" t="str">
        <f>IF(wskakunin_iken2_ZIP="","",wskakunin_iken2_ZIP)</f>
        <v/>
      </c>
      <c r="G551" s="22"/>
      <c r="I551" s="39"/>
      <c r="J551" s="39"/>
      <c r="K551" s="39"/>
      <c r="L551" s="39"/>
      <c r="M551" s="39"/>
      <c r="N551" s="39"/>
      <c r="O551" s="39"/>
      <c r="P551" s="39"/>
      <c r="Q551" s="39"/>
      <c r="R551" s="39"/>
      <c r="S551" s="39"/>
      <c r="T551" s="39"/>
      <c r="U551" s="39"/>
      <c r="V551" s="39"/>
    </row>
    <row r="552" spans="1:22" s="38" customFormat="1" ht="12">
      <c r="A552" s="42"/>
      <c r="B552" s="81" t="s">
        <v>1042</v>
      </c>
      <c r="C552" s="21" t="s">
        <v>1061</v>
      </c>
      <c r="D552" s="268" t="s">
        <v>112</v>
      </c>
      <c r="E552" s="21" t="s">
        <v>1062</v>
      </c>
      <c r="F552" s="47" t="str">
        <f>IF(wskakunin_iken2__address="","",wskakunin_iken2__address)</f>
        <v/>
      </c>
      <c r="G552" s="22"/>
      <c r="I552" s="39"/>
      <c r="J552" s="39"/>
      <c r="K552" s="39"/>
      <c r="L552" s="39"/>
      <c r="M552" s="39"/>
      <c r="N552" s="39"/>
      <c r="O552" s="39"/>
      <c r="P552" s="39"/>
      <c r="Q552" s="39"/>
      <c r="R552" s="39"/>
      <c r="S552" s="39"/>
      <c r="T552" s="39"/>
      <c r="U552" s="39"/>
      <c r="V552" s="39"/>
    </row>
    <row r="553" spans="1:22" s="38" customFormat="1" ht="12">
      <c r="A553" s="42"/>
      <c r="B553" s="81" t="s">
        <v>1045</v>
      </c>
      <c r="C553" s="21" t="s">
        <v>1063</v>
      </c>
      <c r="D553" s="268" t="s">
        <v>112</v>
      </c>
      <c r="E553" s="21" t="s">
        <v>1064</v>
      </c>
      <c r="F553" s="47" t="str">
        <f>IF(wskakunin_iken2_TEL="","",wskakunin_iken2_TEL)</f>
        <v/>
      </c>
      <c r="G553" s="22"/>
      <c r="I553" s="39"/>
      <c r="J553" s="39"/>
      <c r="K553" s="39"/>
      <c r="L553" s="39"/>
      <c r="M553" s="39"/>
      <c r="N553" s="39"/>
      <c r="O553" s="39"/>
      <c r="P553" s="39"/>
      <c r="Q553" s="39"/>
      <c r="R553" s="39"/>
      <c r="S553" s="39"/>
      <c r="T553" s="39"/>
      <c r="U553" s="39"/>
      <c r="V553" s="39"/>
    </row>
    <row r="554" spans="1:22" s="38" customFormat="1" ht="12">
      <c r="A554" s="42"/>
      <c r="B554" s="81" t="s">
        <v>1048</v>
      </c>
      <c r="C554" s="21" t="s">
        <v>1065</v>
      </c>
      <c r="D554" s="268" t="s">
        <v>112</v>
      </c>
      <c r="E554" s="21" t="s">
        <v>1066</v>
      </c>
      <c r="F554" s="47" t="str">
        <f>IF(wskakunin_iken2_IKEN_NO="","",wskakunin_iken2_IKEN_NO)</f>
        <v/>
      </c>
      <c r="G554" s="22"/>
    </row>
    <row r="555" spans="1:22" s="22" customFormat="1" ht="12">
      <c r="A555" s="40"/>
      <c r="B555" s="82" t="s">
        <v>1051</v>
      </c>
      <c r="C555" s="37" t="s">
        <v>1067</v>
      </c>
      <c r="D555" s="255" t="s">
        <v>112</v>
      </c>
      <c r="E555" s="37" t="s">
        <v>1068</v>
      </c>
      <c r="F555" s="162" t="str">
        <f>IF(wskakunin_iken2_DOC="","",wskakunin_iken2_DOC)</f>
        <v/>
      </c>
    </row>
    <row r="556" spans="1:22" s="22" customFormat="1" ht="12">
      <c r="A556" s="40"/>
      <c r="B556" s="83"/>
      <c r="C556" s="37"/>
      <c r="D556" s="37"/>
    </row>
    <row r="557" spans="1:22" s="22" customFormat="1" ht="12">
      <c r="A557" s="43" t="s">
        <v>1069</v>
      </c>
      <c r="B557" s="44"/>
      <c r="C557" s="37"/>
      <c r="D557" s="37"/>
    </row>
    <row r="558" spans="1:22" s="38" customFormat="1" ht="12">
      <c r="A558" s="42"/>
      <c r="B558" s="81" t="s">
        <v>946</v>
      </c>
      <c r="C558" s="21" t="s">
        <v>1070</v>
      </c>
      <c r="D558" s="256" t="s">
        <v>112</v>
      </c>
      <c r="E558" s="21" t="s">
        <v>1071</v>
      </c>
      <c r="F558" s="47" t="str">
        <f>IF(wskakunin_iken3_NAME="","",wskakunin_iken3_NAME)</f>
        <v/>
      </c>
      <c r="G558" s="22"/>
    </row>
    <row r="559" spans="1:22" s="38" customFormat="1" ht="12">
      <c r="A559" s="42"/>
      <c r="B559" s="81" t="s">
        <v>1036</v>
      </c>
      <c r="C559" s="21" t="s">
        <v>1072</v>
      </c>
      <c r="D559" s="256" t="s">
        <v>112</v>
      </c>
      <c r="E559" s="21" t="s">
        <v>1073</v>
      </c>
      <c r="F559" s="47" t="str">
        <f>IF(wskakunin_iken3_JIMU_NAME="","",wskakunin_iken3_JIMU_NAME)</f>
        <v/>
      </c>
      <c r="G559" s="22"/>
    </row>
    <row r="560" spans="1:22" s="38" customFormat="1" ht="12">
      <c r="A560" s="42"/>
      <c r="B560" s="81" t="s">
        <v>1039</v>
      </c>
      <c r="C560" s="21" t="s">
        <v>1074</v>
      </c>
      <c r="D560" s="256" t="s">
        <v>112</v>
      </c>
      <c r="E560" s="21" t="s">
        <v>1075</v>
      </c>
      <c r="F560" s="47" t="str">
        <f>IF(wskakunin_iken3_ZIP="","",wskakunin_iken3_ZIP)</f>
        <v/>
      </c>
      <c r="G560" s="22"/>
      <c r="I560" s="39"/>
      <c r="J560" s="39"/>
      <c r="K560" s="39"/>
      <c r="L560" s="39"/>
      <c r="M560" s="39"/>
      <c r="N560" s="39"/>
      <c r="O560" s="39"/>
      <c r="P560" s="39"/>
      <c r="Q560" s="39"/>
      <c r="R560" s="39"/>
      <c r="S560" s="39"/>
      <c r="T560" s="39"/>
      <c r="U560" s="39"/>
      <c r="V560" s="39"/>
    </row>
    <row r="561" spans="1:22" s="38" customFormat="1" ht="12">
      <c r="A561" s="42"/>
      <c r="B561" s="81" t="s">
        <v>1042</v>
      </c>
      <c r="C561" s="21" t="s">
        <v>1076</v>
      </c>
      <c r="D561" s="256" t="s">
        <v>112</v>
      </c>
      <c r="E561" s="21" t="s">
        <v>1077</v>
      </c>
      <c r="F561" s="47" t="str">
        <f>IF(wskakunin_iken3__address="","",wskakunin_iken3__address)</f>
        <v/>
      </c>
      <c r="G561" s="22"/>
      <c r="I561" s="39"/>
      <c r="J561" s="39"/>
      <c r="K561" s="39"/>
      <c r="L561" s="39"/>
      <c r="M561" s="39"/>
      <c r="N561" s="39"/>
      <c r="O561" s="39"/>
      <c r="P561" s="39"/>
      <c r="Q561" s="39"/>
      <c r="R561" s="39"/>
      <c r="S561" s="39"/>
      <c r="T561" s="39"/>
      <c r="U561" s="39"/>
      <c r="V561" s="39"/>
    </row>
    <row r="562" spans="1:22" s="38" customFormat="1" ht="12">
      <c r="A562" s="42"/>
      <c r="B562" s="81" t="s">
        <v>1045</v>
      </c>
      <c r="C562" s="21" t="s">
        <v>1078</v>
      </c>
      <c r="D562" s="256" t="s">
        <v>112</v>
      </c>
      <c r="E562" s="21" t="s">
        <v>1079</v>
      </c>
      <c r="F562" s="47" t="str">
        <f>IF(wskakunin_iken3_TEL="","",wskakunin_iken3_TEL)</f>
        <v/>
      </c>
      <c r="G562" s="22"/>
      <c r="I562" s="39"/>
      <c r="J562" s="39"/>
      <c r="K562" s="39"/>
      <c r="L562" s="39"/>
      <c r="M562" s="39"/>
      <c r="N562" s="39"/>
      <c r="O562" s="39"/>
      <c r="P562" s="39"/>
      <c r="Q562" s="39"/>
      <c r="R562" s="39"/>
      <c r="S562" s="39"/>
      <c r="T562" s="39"/>
      <c r="U562" s="39"/>
      <c r="V562" s="39"/>
    </row>
    <row r="563" spans="1:22" s="38" customFormat="1" ht="12">
      <c r="A563" s="42"/>
      <c r="B563" s="81" t="s">
        <v>1048</v>
      </c>
      <c r="C563" s="21" t="s">
        <v>1080</v>
      </c>
      <c r="D563" s="256" t="s">
        <v>112</v>
      </c>
      <c r="E563" s="21" t="s">
        <v>1081</v>
      </c>
      <c r="F563" s="47" t="str">
        <f>IF(wskakunin_iken3_IKEN_NO="","",wskakunin_iken3_IKEN_NO)</f>
        <v/>
      </c>
      <c r="G563" s="22"/>
    </row>
    <row r="564" spans="1:22" s="22" customFormat="1" ht="12">
      <c r="A564" s="40"/>
      <c r="B564" s="82" t="s">
        <v>1051</v>
      </c>
      <c r="C564" s="37" t="s">
        <v>1082</v>
      </c>
      <c r="D564" s="255" t="s">
        <v>112</v>
      </c>
      <c r="E564" s="37" t="s">
        <v>1083</v>
      </c>
      <c r="F564" s="162" t="str">
        <f>IF(wskakunin_iken3_DOC="","",wskakunin_iken3_DOC)</f>
        <v/>
      </c>
    </row>
    <row r="565" spans="1:22" s="22" customFormat="1" ht="12">
      <c r="A565" s="40"/>
      <c r="B565" s="83"/>
      <c r="C565" s="37"/>
      <c r="D565" s="37"/>
    </row>
    <row r="566" spans="1:22" s="22" customFormat="1" ht="12">
      <c r="A566" s="43" t="s">
        <v>1084</v>
      </c>
      <c r="B566" s="44"/>
      <c r="C566" s="37"/>
      <c r="D566" s="37"/>
    </row>
    <row r="567" spans="1:22" s="38" customFormat="1" ht="12">
      <c r="A567" s="42"/>
      <c r="B567" s="81" t="s">
        <v>946</v>
      </c>
      <c r="C567" s="21" t="s">
        <v>1085</v>
      </c>
      <c r="D567" s="256" t="s">
        <v>112</v>
      </c>
      <c r="E567" s="21" t="s">
        <v>1086</v>
      </c>
      <c r="F567" s="47" t="str">
        <f>IF(wskakunin_iken4_NAME="","",wskakunin_iken4_NAME)</f>
        <v/>
      </c>
      <c r="G567" s="22"/>
    </row>
    <row r="568" spans="1:22" s="38" customFormat="1" ht="12">
      <c r="A568" s="42"/>
      <c r="B568" s="81" t="s">
        <v>1036</v>
      </c>
      <c r="C568" s="21" t="s">
        <v>1087</v>
      </c>
      <c r="D568" s="256" t="s">
        <v>112</v>
      </c>
      <c r="E568" s="21" t="s">
        <v>1088</v>
      </c>
      <c r="F568" s="47" t="str">
        <f>IF(wskakunin_iken4_JIMU_NAME="","",wskakunin_iken4_JIMU_NAME)</f>
        <v/>
      </c>
      <c r="G568" s="22"/>
    </row>
    <row r="569" spans="1:22" s="38" customFormat="1" ht="12">
      <c r="A569" s="42"/>
      <c r="B569" s="81" t="s">
        <v>1039</v>
      </c>
      <c r="C569" s="21" t="s">
        <v>1089</v>
      </c>
      <c r="D569" s="256" t="s">
        <v>112</v>
      </c>
      <c r="E569" s="21" t="s">
        <v>1090</v>
      </c>
      <c r="F569" s="47" t="str">
        <f>IF(wskakunin_iken4_ZIP="","",wskakunin_iken4_ZIP)</f>
        <v/>
      </c>
      <c r="G569" s="22"/>
      <c r="I569" s="39"/>
      <c r="J569" s="39"/>
      <c r="K569" s="39"/>
      <c r="L569" s="39"/>
      <c r="M569" s="39"/>
      <c r="N569" s="39"/>
      <c r="O569" s="39"/>
      <c r="P569" s="39"/>
      <c r="Q569" s="39"/>
      <c r="R569" s="39"/>
      <c r="S569" s="39"/>
      <c r="T569" s="39"/>
      <c r="U569" s="39"/>
      <c r="V569" s="39"/>
    </row>
    <row r="570" spans="1:22" s="38" customFormat="1" ht="12">
      <c r="A570" s="42"/>
      <c r="B570" s="81" t="s">
        <v>1042</v>
      </c>
      <c r="C570" s="21" t="s">
        <v>1091</v>
      </c>
      <c r="D570" s="256" t="s">
        <v>112</v>
      </c>
      <c r="E570" s="21" t="s">
        <v>1092</v>
      </c>
      <c r="F570" s="47" t="str">
        <f>IF(wskakunin_iken4__address="","",wskakunin_iken4__address)</f>
        <v/>
      </c>
      <c r="G570" s="22"/>
      <c r="I570" s="39"/>
      <c r="J570" s="39"/>
      <c r="K570" s="39"/>
      <c r="L570" s="39"/>
      <c r="M570" s="39"/>
      <c r="N570" s="39"/>
      <c r="O570" s="39"/>
      <c r="P570" s="39"/>
      <c r="Q570" s="39"/>
      <c r="R570" s="39"/>
      <c r="S570" s="39"/>
      <c r="T570" s="39"/>
      <c r="U570" s="39"/>
      <c r="V570" s="39"/>
    </row>
    <row r="571" spans="1:22" s="38" customFormat="1" ht="12">
      <c r="A571" s="42"/>
      <c r="B571" s="81" t="s">
        <v>1045</v>
      </c>
      <c r="C571" s="21" t="s">
        <v>1093</v>
      </c>
      <c r="D571" s="256" t="s">
        <v>112</v>
      </c>
      <c r="E571" s="21" t="s">
        <v>1094</v>
      </c>
      <c r="F571" s="47" t="str">
        <f>IF(wskakunin_iken4_TEL="","",wskakunin_iken4_TEL)</f>
        <v/>
      </c>
      <c r="G571" s="22"/>
      <c r="I571" s="39"/>
      <c r="J571" s="39"/>
      <c r="K571" s="39"/>
      <c r="L571" s="39"/>
      <c r="M571" s="39"/>
      <c r="N571" s="39"/>
      <c r="O571" s="39"/>
      <c r="P571" s="39"/>
      <c r="Q571" s="39"/>
      <c r="R571" s="39"/>
      <c r="S571" s="39"/>
      <c r="T571" s="39"/>
      <c r="U571" s="39"/>
      <c r="V571" s="39"/>
    </row>
    <row r="572" spans="1:22" s="38" customFormat="1" ht="12">
      <c r="A572" s="42"/>
      <c r="B572" s="81" t="s">
        <v>1048</v>
      </c>
      <c r="C572" s="21" t="s">
        <v>1095</v>
      </c>
      <c r="D572" s="256" t="s">
        <v>112</v>
      </c>
      <c r="E572" s="21" t="s">
        <v>1096</v>
      </c>
      <c r="F572" s="47" t="str">
        <f>IF(wskakunin_iken4_IKEN_NO="","",wskakunin_iken4_IKEN_NO)</f>
        <v/>
      </c>
      <c r="G572" s="22"/>
    </row>
    <row r="573" spans="1:22" s="22" customFormat="1" ht="12">
      <c r="A573" s="40"/>
      <c r="B573" s="82" t="s">
        <v>1051</v>
      </c>
      <c r="C573" s="37" t="s">
        <v>1097</v>
      </c>
      <c r="D573" s="255" t="s">
        <v>112</v>
      </c>
      <c r="E573" s="37" t="s">
        <v>1098</v>
      </c>
      <c r="F573" s="162" t="str">
        <f>IF(wskakunin_iken4_DOC="","",wskakunin_iken4_DOC)</f>
        <v/>
      </c>
    </row>
    <row r="574" spans="1:22" s="22" customFormat="1" ht="12">
      <c r="A574" s="228" t="s">
        <v>1099</v>
      </c>
      <c r="B574" s="229"/>
      <c r="C574" s="36"/>
      <c r="D574" s="36"/>
      <c r="E574" s="36"/>
      <c r="F574" s="36"/>
    </row>
    <row r="575" spans="1:22" s="22" customFormat="1" ht="12">
      <c r="A575" s="42"/>
      <c r="B575" s="81" t="s">
        <v>946</v>
      </c>
      <c r="C575" s="21" t="s">
        <v>1100</v>
      </c>
      <c r="D575" s="256" t="s">
        <v>112</v>
      </c>
      <c r="E575" s="36" t="s">
        <v>1101</v>
      </c>
      <c r="F575" s="162" t="str">
        <f>IF(wskakunin_iken5_NAME="","",wskakunin_iken5_NAME)</f>
        <v/>
      </c>
    </row>
    <row r="576" spans="1:22" s="22" customFormat="1" ht="12">
      <c r="A576" s="42"/>
      <c r="B576" s="81" t="s">
        <v>1036</v>
      </c>
      <c r="C576" s="21" t="s">
        <v>1102</v>
      </c>
      <c r="D576" s="256" t="s">
        <v>112</v>
      </c>
      <c r="E576" s="36" t="s">
        <v>1103</v>
      </c>
      <c r="F576" s="162" t="str">
        <f>IF(wskakunin_iken5_JIMU_NAME="","",wskakunin_iken5_JIMU_NAME)</f>
        <v/>
      </c>
    </row>
    <row r="577" spans="1:8" s="22" customFormat="1" ht="12">
      <c r="A577" s="42"/>
      <c r="B577" s="81" t="s">
        <v>1039</v>
      </c>
      <c r="C577" s="21" t="s">
        <v>1104</v>
      </c>
      <c r="D577" s="256" t="s">
        <v>112</v>
      </c>
      <c r="E577" s="36" t="s">
        <v>1105</v>
      </c>
      <c r="F577" s="162" t="str">
        <f>IF(wskakunin_iken5_ZIP="","",wskakunin_iken5_ZIP)</f>
        <v/>
      </c>
    </row>
    <row r="578" spans="1:8" s="22" customFormat="1" ht="12">
      <c r="A578" s="42"/>
      <c r="B578" s="81" t="s">
        <v>1042</v>
      </c>
      <c r="C578" s="21" t="s">
        <v>1106</v>
      </c>
      <c r="D578" s="256" t="s">
        <v>112</v>
      </c>
      <c r="E578" s="36" t="s">
        <v>1107</v>
      </c>
      <c r="F578" s="162" t="str">
        <f>IF(wskakunin_iken5__address="","",wskakunin_iken5__address)</f>
        <v/>
      </c>
    </row>
    <row r="579" spans="1:8" s="22" customFormat="1" ht="12">
      <c r="A579" s="42"/>
      <c r="B579" s="81" t="s">
        <v>1045</v>
      </c>
      <c r="C579" s="21" t="s">
        <v>1108</v>
      </c>
      <c r="D579" s="256" t="s">
        <v>112</v>
      </c>
      <c r="E579" s="36" t="s">
        <v>1109</v>
      </c>
      <c r="F579" s="162" t="str">
        <f>IF(wskakunin_iken5_TEL="","",wskakunin_iken5_TEL)</f>
        <v/>
      </c>
    </row>
    <row r="580" spans="1:8" s="22" customFormat="1" ht="12">
      <c r="A580" s="42"/>
      <c r="B580" s="81" t="s">
        <v>1048</v>
      </c>
      <c r="C580" s="21" t="s">
        <v>1110</v>
      </c>
      <c r="D580" s="256" t="s">
        <v>112</v>
      </c>
      <c r="E580" s="36" t="s">
        <v>1111</v>
      </c>
      <c r="F580" s="162" t="str">
        <f>IF(wskakunin_iken5_IKEN_NO="","",wskakunin_iken5_IKEN_NO)</f>
        <v/>
      </c>
    </row>
    <row r="581" spans="1:8" s="22" customFormat="1" ht="12">
      <c r="A581" s="40"/>
      <c r="B581" s="82" t="s">
        <v>1051</v>
      </c>
      <c r="C581" s="37" t="s">
        <v>1112</v>
      </c>
      <c r="D581" s="256" t="s">
        <v>112</v>
      </c>
      <c r="E581" s="36" t="s">
        <v>1113</v>
      </c>
      <c r="F581" s="162" t="str">
        <f>IF(wskakunin_iken5_DOC="","",wskakunin_iken5_DOC)</f>
        <v/>
      </c>
    </row>
    <row r="582" spans="1:8" s="36" customFormat="1" ht="12">
      <c r="A582" s="230"/>
      <c r="B582" s="83"/>
      <c r="G582" s="22"/>
    </row>
    <row r="583" spans="1:8" ht="12">
      <c r="A583" s="8" t="s">
        <v>1114</v>
      </c>
      <c r="B583" s="47" t="s">
        <v>1115</v>
      </c>
      <c r="G583" s="22"/>
      <c r="H583" s="22"/>
    </row>
    <row r="584" spans="1:8" ht="12">
      <c r="A584" s="30"/>
      <c r="B584" s="74" t="s">
        <v>392</v>
      </c>
      <c r="C584" s="21" t="s">
        <v>1116</v>
      </c>
      <c r="D584" s="162" t="s">
        <v>394</v>
      </c>
      <c r="E584" s="21" t="s">
        <v>1117</v>
      </c>
      <c r="F584" s="162" t="str">
        <f>IF(wskakunin_kanri1__sikaku="", "", wskakunin_kanri1__sikaku)</f>
        <v>一級建築士大臣登録第001100号</v>
      </c>
      <c r="G584" s="22"/>
      <c r="H584" s="22"/>
    </row>
    <row r="585" spans="1:8" ht="12">
      <c r="A585" s="30"/>
      <c r="B585" s="74" t="s">
        <v>396</v>
      </c>
      <c r="C585" s="21" t="s">
        <v>1118</v>
      </c>
      <c r="D585" s="162" t="s">
        <v>398</v>
      </c>
      <c r="E585" s="21" t="s">
        <v>1119</v>
      </c>
      <c r="F585" s="162" t="str">
        <f>IF(wskakunin_kanri1_SIKAKU__label="", "", wskakunin_kanri1_SIKAKU__label)</f>
        <v>一級</v>
      </c>
      <c r="G585" s="22"/>
      <c r="H585" s="22"/>
    </row>
    <row r="586" spans="1:8" ht="12">
      <c r="A586" s="35"/>
      <c r="B586" s="80" t="s">
        <v>400</v>
      </c>
      <c r="C586" s="21" t="s">
        <v>1120</v>
      </c>
      <c r="D586" s="162" t="s">
        <v>402</v>
      </c>
      <c r="E586" s="21" t="s">
        <v>1121</v>
      </c>
      <c r="F586" s="162" t="str">
        <f>IF(wskakunin_kanri1_TOUROKU_KIKAN__label="","",wskakunin_kanri1_TOUROKU_KIKAN__label)</f>
        <v>大臣</v>
      </c>
      <c r="G586" s="22"/>
      <c r="H586" s="22"/>
    </row>
    <row r="587" spans="1:8" ht="12">
      <c r="A587" s="35"/>
      <c r="B587" s="80" t="s">
        <v>404</v>
      </c>
      <c r="C587" s="21" t="s">
        <v>1122</v>
      </c>
      <c r="D587" s="255" t="s">
        <v>406</v>
      </c>
      <c r="E587" s="21" t="s">
        <v>1123</v>
      </c>
      <c r="F587" s="162" t="str">
        <f>IF(wskakunin_kanri1_KENTIKUSI_NO="","",wskakunin_kanri1_KENTIKUSI_NO)</f>
        <v>001100</v>
      </c>
      <c r="G587" s="22"/>
      <c r="H587" s="22"/>
    </row>
    <row r="588" spans="1:8" ht="12">
      <c r="A588" s="63"/>
      <c r="B588" s="74" t="s">
        <v>194</v>
      </c>
      <c r="C588" s="21" t="s">
        <v>1124</v>
      </c>
      <c r="D588" s="162" t="s">
        <v>411</v>
      </c>
      <c r="E588" s="21" t="s">
        <v>1125</v>
      </c>
      <c r="F588" s="162" t="str">
        <f>IF(wskakunin_kanri1_NAME="", "", wskakunin_kanri1_NAME)</f>
        <v>現場　猫</v>
      </c>
      <c r="G588" s="22"/>
      <c r="H588" s="22"/>
    </row>
    <row r="589" spans="1:8" ht="12">
      <c r="A589" s="63"/>
      <c r="B589" s="74" t="s">
        <v>416</v>
      </c>
      <c r="C589" s="21" t="s">
        <v>1126</v>
      </c>
      <c r="D589" s="162" t="s">
        <v>418</v>
      </c>
      <c r="E589" s="21" t="s">
        <v>1127</v>
      </c>
      <c r="F589" s="162" t="str">
        <f>IF(wskakunin_kanri1_JIMU__sikaku="", "", wskakunin_kanri1_JIMU__sikaku)</f>
        <v>一級建築士事務所京都府知事登録第03A00000号</v>
      </c>
      <c r="G589" s="22"/>
      <c r="H589" s="22"/>
    </row>
    <row r="590" spans="1:8" ht="12">
      <c r="A590" s="47"/>
      <c r="B590" s="80" t="s">
        <v>420</v>
      </c>
      <c r="C590" s="21" t="s">
        <v>1128</v>
      </c>
      <c r="D590" s="162" t="s">
        <v>398</v>
      </c>
      <c r="E590" s="21" t="s">
        <v>1129</v>
      </c>
      <c r="F590" s="162" t="str">
        <f>IF(wskakunin_kanri1_JIMU_SIKAKU__label="","",wskakunin_kanri1_JIMU_SIKAKU__label)</f>
        <v>一級</v>
      </c>
      <c r="G590" s="22"/>
      <c r="H590" s="22"/>
    </row>
    <row r="591" spans="1:8" ht="12">
      <c r="A591" s="47"/>
      <c r="B591" s="80" t="s">
        <v>423</v>
      </c>
      <c r="C591" s="21" t="s">
        <v>1130</v>
      </c>
      <c r="D591" s="162" t="s">
        <v>425</v>
      </c>
      <c r="E591" s="21" t="s">
        <v>1131</v>
      </c>
      <c r="F591" s="162" t="str">
        <f>IF(wskakunin_kanri1_JIMU_TOUROKU_KIKAN__label="","",wskakunin_kanri1_JIMU_TOUROKU_KIKAN__label)</f>
        <v>京都府</v>
      </c>
      <c r="G591" s="22"/>
      <c r="H591" s="22"/>
    </row>
    <row r="592" spans="1:8" ht="12">
      <c r="A592" s="47"/>
      <c r="B592" s="80" t="s">
        <v>427</v>
      </c>
      <c r="C592" s="21" t="s">
        <v>1132</v>
      </c>
      <c r="D592" s="162" t="s">
        <v>429</v>
      </c>
      <c r="E592" s="21" t="s">
        <v>1133</v>
      </c>
      <c r="F592" s="162" t="str">
        <f>IF(wskakunin_kanri1_JIMU_NO="","",wskakunin_kanri1_JIMU_NO)</f>
        <v>03A00000</v>
      </c>
      <c r="G592" s="22"/>
      <c r="H592" s="22"/>
    </row>
    <row r="593" spans="1:8" ht="12">
      <c r="A593" s="63"/>
      <c r="B593" s="74" t="s">
        <v>431</v>
      </c>
      <c r="C593" s="21" t="s">
        <v>1134</v>
      </c>
      <c r="D593" s="162" t="s">
        <v>433</v>
      </c>
      <c r="E593" s="21" t="s">
        <v>1135</v>
      </c>
      <c r="F593" s="162" t="str">
        <f>IF(wskakunin_kanri1_JIMU_NAME="", "", wskakunin_kanri1_JIMU_NAME)</f>
        <v>猫建築事務所</v>
      </c>
      <c r="G593" s="22"/>
      <c r="H593" s="22"/>
    </row>
    <row r="594" spans="1:8" ht="12">
      <c r="A594" s="63"/>
      <c r="B594" s="74" t="s">
        <v>205</v>
      </c>
      <c r="C594" s="21" t="s">
        <v>1136</v>
      </c>
      <c r="D594" s="255" t="s">
        <v>436</v>
      </c>
      <c r="E594" s="21" t="s">
        <v>1137</v>
      </c>
      <c r="F594" s="162" t="str">
        <f>IF(wskakunin_kanri1_ZIP="", "", wskakunin_kanri1_ZIP)</f>
        <v>604-0001</v>
      </c>
      <c r="G594" s="22"/>
      <c r="H594" s="22"/>
    </row>
    <row r="595" spans="1:8" ht="12">
      <c r="A595" s="63"/>
      <c r="B595" s="74"/>
      <c r="E595" s="21" t="s">
        <v>1138</v>
      </c>
      <c r="F595" s="162" t="str">
        <f>IF(wskakunin_kanri1_ZIP="","",LEFT(wskakunin_kanri1_ZIP,3)&amp;RIGHT(wskakunin_kanri1_ZIP,4))</f>
        <v>6040001</v>
      </c>
      <c r="G595" s="22"/>
      <c r="H595" s="22"/>
    </row>
    <row r="596" spans="1:8" ht="12">
      <c r="A596" s="63"/>
      <c r="B596" s="74" t="s">
        <v>438</v>
      </c>
      <c r="C596" s="21" t="s">
        <v>1139</v>
      </c>
      <c r="D596" s="162" t="s">
        <v>440</v>
      </c>
      <c r="E596" s="21" t="s">
        <v>1140</v>
      </c>
      <c r="F596" s="162" t="str">
        <f>IF(wskakunin_kanri1__address="", "", wskakunin_kanri1__address)</f>
        <v>京都府京都市中京区道場町1</v>
      </c>
      <c r="G596" s="22"/>
      <c r="H596" s="22"/>
    </row>
    <row r="597" spans="1:8" ht="12">
      <c r="A597" s="63"/>
      <c r="B597" s="74" t="s">
        <v>214</v>
      </c>
      <c r="C597" s="21" t="s">
        <v>1141</v>
      </c>
      <c r="D597" s="255" t="s">
        <v>443</v>
      </c>
      <c r="E597" s="21" t="s">
        <v>1142</v>
      </c>
      <c r="F597" s="162" t="str">
        <f>IF(wskakunin_kanri1_TEL="", "", wskakunin_kanri1_TEL)</f>
        <v>075-000-0000</v>
      </c>
      <c r="G597" s="22"/>
      <c r="H597" s="22"/>
    </row>
    <row r="598" spans="1:8" ht="12">
      <c r="A598" s="242"/>
      <c r="B598" s="300"/>
      <c r="E598" s="21" t="s">
        <v>1143</v>
      </c>
      <c r="F598" s="162" t="str">
        <f>IF(wskakunin_kanri1_TEL="","（　　　　）　　　-","（"&amp;LEFT(cst_wskakunin_kanri1_TEL,FIND("-",cst_wskakunin_kanri1_TEL)-1)&amp;"）　"&amp;MID(cst_wskakunin_kanri1_TEL,FIND("-",cst_wskakunin_kanri1_TEL)+1,FIND("-",cst_wskakunin_kanri1_TEL,FIND("-",cst_wskakunin_kanri1_TEL)+1)-FIND("-",cst_wskakunin_kanri1_TEL)-1)&amp;"-"&amp;RIGHT(cst_wskakunin_kanri1_TEL,LEN(cst_wskakunin_kanri1_TEL)-FIND("-",cst_wskakunin_kanri1_TEL,FIND("-",cst_wskakunin_kanri1_TEL)+1)))</f>
        <v>（075）　000-0000</v>
      </c>
      <c r="G598" s="22"/>
      <c r="H598" s="22"/>
    </row>
    <row r="599" spans="1:8" ht="12">
      <c r="A599" s="63"/>
      <c r="B599" s="74" t="s">
        <v>610</v>
      </c>
      <c r="C599" s="21" t="s">
        <v>1144</v>
      </c>
      <c r="D599" s="255" t="s">
        <v>612</v>
      </c>
      <c r="E599" s="21" t="s">
        <v>1145</v>
      </c>
      <c r="F599" s="162" t="str">
        <f>IF(wskakunin_kanri1_DOC="","",wskakunin_kanri1_DOC)</f>
        <v>全ての設計図書</v>
      </c>
      <c r="G599" s="22"/>
      <c r="H599" s="22"/>
    </row>
    <row r="600" spans="1:8" ht="12">
      <c r="A600" s="47"/>
      <c r="B600" s="77"/>
      <c r="G600" s="22"/>
      <c r="H600" s="22"/>
    </row>
    <row r="601" spans="1:8" ht="12">
      <c r="A601" s="48" t="s">
        <v>1146</v>
      </c>
      <c r="B601" s="47" t="s">
        <v>1147</v>
      </c>
      <c r="G601" s="22"/>
      <c r="H601" s="22"/>
    </row>
    <row r="602" spans="1:8" ht="12">
      <c r="A602" s="30"/>
      <c r="B602" s="74" t="s">
        <v>392</v>
      </c>
      <c r="C602" s="21" t="s">
        <v>1148</v>
      </c>
      <c r="D602" s="162" t="s">
        <v>112</v>
      </c>
      <c r="E602" s="21" t="s">
        <v>1149</v>
      </c>
      <c r="F602" s="162" t="str">
        <f>IF(wskakunin_kanri2__sikaku="", "", wskakunin_kanri2__sikaku)</f>
        <v/>
      </c>
      <c r="G602" s="22"/>
      <c r="H602" s="22"/>
    </row>
    <row r="603" spans="1:8" ht="12">
      <c r="A603" s="30"/>
      <c r="B603" s="74" t="s">
        <v>396</v>
      </c>
      <c r="C603" s="21" t="s">
        <v>1150</v>
      </c>
      <c r="D603" s="162" t="s">
        <v>112</v>
      </c>
      <c r="E603" s="21" t="s">
        <v>1151</v>
      </c>
      <c r="F603" s="162" t="str">
        <f>IF(wskakunin_kanri2_SIKAKU__label="", "", wskakunin_kanri2_SIKAKU__label)</f>
        <v/>
      </c>
      <c r="G603" s="22"/>
      <c r="H603" s="22"/>
    </row>
    <row r="604" spans="1:8" ht="12">
      <c r="A604" s="35"/>
      <c r="B604" s="80" t="s">
        <v>400</v>
      </c>
      <c r="C604" s="21" t="s">
        <v>1152</v>
      </c>
      <c r="D604" s="162" t="s">
        <v>112</v>
      </c>
      <c r="E604" s="21" t="s">
        <v>1153</v>
      </c>
      <c r="F604" s="162" t="str">
        <f>IF(wskakunin_kanri2_TOUROKU_KIKAN__label="","",wskakunin_kanri2_TOUROKU_KIKAN__label)</f>
        <v/>
      </c>
      <c r="G604" s="22"/>
      <c r="H604" s="22"/>
    </row>
    <row r="605" spans="1:8" ht="12">
      <c r="A605" s="35"/>
      <c r="B605" s="80" t="s">
        <v>404</v>
      </c>
      <c r="C605" s="21" t="s">
        <v>1154</v>
      </c>
      <c r="D605" s="255" t="s">
        <v>112</v>
      </c>
      <c r="E605" s="21" t="s">
        <v>1155</v>
      </c>
      <c r="F605" s="162" t="str">
        <f>IF(wskakunin_kanri2_KENTIKUSI_NO="","",wskakunin_kanri2_KENTIKUSI_NO)</f>
        <v/>
      </c>
      <c r="G605" s="22"/>
      <c r="H605" s="22"/>
    </row>
    <row r="606" spans="1:8" ht="12">
      <c r="A606" s="63"/>
      <c r="B606" s="74" t="s">
        <v>194</v>
      </c>
      <c r="C606" s="21" t="s">
        <v>1156</v>
      </c>
      <c r="D606" s="162" t="s">
        <v>112</v>
      </c>
      <c r="E606" s="21" t="s">
        <v>1157</v>
      </c>
      <c r="F606" s="162" t="str">
        <f>IF(wskakunin_kanri2_NAME="", "", wskakunin_kanri2_NAME)</f>
        <v/>
      </c>
      <c r="G606" s="22"/>
      <c r="H606" s="22"/>
    </row>
    <row r="607" spans="1:8" ht="12">
      <c r="A607" s="63"/>
      <c r="B607" s="74" t="s">
        <v>416</v>
      </c>
      <c r="C607" s="21" t="s">
        <v>1158</v>
      </c>
      <c r="D607" s="162" t="s">
        <v>112</v>
      </c>
      <c r="E607" s="21" t="s">
        <v>1159</v>
      </c>
      <c r="F607" s="162" t="str">
        <f>IF(wskakunin_kanri2_JIMU__sikaku="", "", wskakunin_kanri2_JIMU__sikaku)</f>
        <v/>
      </c>
      <c r="G607" s="22"/>
      <c r="H607" s="22"/>
    </row>
    <row r="608" spans="1:8" ht="12">
      <c r="A608" s="47"/>
      <c r="B608" s="80" t="s">
        <v>420</v>
      </c>
      <c r="C608" s="21" t="s">
        <v>1160</v>
      </c>
      <c r="D608" s="162" t="s">
        <v>112</v>
      </c>
      <c r="E608" s="21" t="s">
        <v>1161</v>
      </c>
      <c r="F608" s="162" t="str">
        <f>IF(wskakunin_kanri2_JIMU_SIKAKU__label="","",wskakunin_kanri2_JIMU_SIKAKU__label)</f>
        <v/>
      </c>
      <c r="G608" s="22"/>
      <c r="H608" s="22"/>
    </row>
    <row r="609" spans="1:8" ht="12">
      <c r="A609" s="47"/>
      <c r="B609" s="80" t="s">
        <v>423</v>
      </c>
      <c r="C609" s="21" t="s">
        <v>1162</v>
      </c>
      <c r="D609" s="162" t="s">
        <v>112</v>
      </c>
      <c r="E609" s="21" t="s">
        <v>1163</v>
      </c>
      <c r="F609" s="162" t="str">
        <f>IF(wskakunin_kanri2_JIMU_TOUROKU_KIKAN__label="","",wskakunin_kanri2_JIMU_TOUROKU_KIKAN__label)</f>
        <v/>
      </c>
      <c r="G609" s="22"/>
      <c r="H609" s="22"/>
    </row>
    <row r="610" spans="1:8" ht="12">
      <c r="A610" s="47"/>
      <c r="B610" s="80" t="s">
        <v>427</v>
      </c>
      <c r="C610" s="21" t="s">
        <v>1164</v>
      </c>
      <c r="D610" s="255" t="s">
        <v>112</v>
      </c>
      <c r="E610" s="21" t="s">
        <v>1165</v>
      </c>
      <c r="F610" s="162" t="str">
        <f>IF(wskakunin_kanri2_JIMU_NO="","",wskakunin_kanri2_JIMU_NO)</f>
        <v/>
      </c>
      <c r="G610" s="22"/>
      <c r="H610" s="22"/>
    </row>
    <row r="611" spans="1:8" ht="12">
      <c r="A611" s="63"/>
      <c r="B611" s="74" t="s">
        <v>431</v>
      </c>
      <c r="C611" s="21" t="s">
        <v>1166</v>
      </c>
      <c r="D611" s="162" t="s">
        <v>112</v>
      </c>
      <c r="E611" s="21" t="s">
        <v>1167</v>
      </c>
      <c r="F611" s="162" t="str">
        <f>IF(wskakunin_kanri2_JIMU_NAME="", "", wskakunin_kanri2_JIMU_NAME)</f>
        <v/>
      </c>
      <c r="G611" s="22"/>
      <c r="H611" s="22"/>
    </row>
    <row r="612" spans="1:8" ht="12">
      <c r="A612" s="63"/>
      <c r="B612" s="74" t="s">
        <v>205</v>
      </c>
      <c r="C612" s="21" t="s">
        <v>1168</v>
      </c>
      <c r="D612" s="255" t="s">
        <v>112</v>
      </c>
      <c r="E612" s="21" t="s">
        <v>1169</v>
      </c>
      <c r="F612" s="162" t="str">
        <f>IF(wskakunin_kanri2_ZIP="", "", wskakunin_kanri2_ZIP)</f>
        <v/>
      </c>
      <c r="G612" s="22"/>
      <c r="H612" s="22"/>
    </row>
    <row r="613" spans="1:8" ht="12">
      <c r="A613" s="63"/>
      <c r="B613" s="74" t="s">
        <v>438</v>
      </c>
      <c r="C613" s="21" t="s">
        <v>1170</v>
      </c>
      <c r="D613" s="162" t="s">
        <v>112</v>
      </c>
      <c r="E613" s="21" t="s">
        <v>1171</v>
      </c>
      <c r="F613" s="162" t="str">
        <f>IF(wskakunin_kanri2__address="", "", wskakunin_kanri2__address)</f>
        <v/>
      </c>
      <c r="G613" s="22"/>
      <c r="H613" s="22"/>
    </row>
    <row r="614" spans="1:8" ht="12">
      <c r="A614" s="63"/>
      <c r="B614" s="74" t="s">
        <v>214</v>
      </c>
      <c r="C614" s="21" t="s">
        <v>1172</v>
      </c>
      <c r="D614" s="255" t="s">
        <v>112</v>
      </c>
      <c r="E614" s="21" t="s">
        <v>1173</v>
      </c>
      <c r="F614" s="162" t="str">
        <f>IF(wskakunin_kanri2_TEL="", "", wskakunin_kanri2_TEL)</f>
        <v/>
      </c>
      <c r="G614" s="22"/>
      <c r="H614" s="22"/>
    </row>
    <row r="615" spans="1:8" ht="12">
      <c r="A615" s="63"/>
      <c r="B615" s="74" t="s">
        <v>610</v>
      </c>
      <c r="C615" s="21" t="s">
        <v>1174</v>
      </c>
      <c r="D615" s="255" t="s">
        <v>112</v>
      </c>
      <c r="E615" s="21" t="s">
        <v>1175</v>
      </c>
      <c r="F615" s="162" t="str">
        <f>IF(wskakunin_kanri2_DOC="","",wskakunin_kanri2_DOC)</f>
        <v/>
      </c>
      <c r="G615" s="22"/>
      <c r="H615" s="22"/>
    </row>
    <row r="616" spans="1:8" ht="12">
      <c r="A616" s="107"/>
      <c r="B616" s="77"/>
      <c r="G616" s="22"/>
      <c r="H616" s="22"/>
    </row>
    <row r="617" spans="1:8" ht="12">
      <c r="A617" s="48" t="s">
        <v>1176</v>
      </c>
      <c r="B617" s="47" t="s">
        <v>1147</v>
      </c>
      <c r="G617" s="22"/>
      <c r="H617" s="22"/>
    </row>
    <row r="618" spans="1:8" ht="12">
      <c r="A618" s="30"/>
      <c r="B618" s="74" t="s">
        <v>392</v>
      </c>
      <c r="C618" s="21" t="s">
        <v>1177</v>
      </c>
      <c r="D618" s="162" t="s">
        <v>112</v>
      </c>
      <c r="E618" s="21" t="s">
        <v>1178</v>
      </c>
      <c r="F618" s="162" t="str">
        <f>IF(wskakunin_kanri3__sikaku="", "", wskakunin_kanri3__sikaku)</f>
        <v/>
      </c>
      <c r="G618" s="22"/>
      <c r="H618" s="22"/>
    </row>
    <row r="619" spans="1:8" ht="12">
      <c r="A619" s="30"/>
      <c r="B619" s="74" t="s">
        <v>396</v>
      </c>
      <c r="C619" s="21" t="s">
        <v>1179</v>
      </c>
      <c r="D619" s="162" t="s">
        <v>112</v>
      </c>
      <c r="E619" s="21" t="s">
        <v>1180</v>
      </c>
      <c r="F619" s="162" t="str">
        <f>IF(wskakunin_kanri3_SIKAKU__label="", "", wskakunin_kanri3_SIKAKU__label)</f>
        <v/>
      </c>
      <c r="G619" s="22"/>
      <c r="H619" s="22"/>
    </row>
    <row r="620" spans="1:8" ht="12">
      <c r="A620" s="35"/>
      <c r="B620" s="80" t="s">
        <v>400</v>
      </c>
      <c r="C620" s="21" t="s">
        <v>1181</v>
      </c>
      <c r="D620" s="162" t="s">
        <v>112</v>
      </c>
      <c r="E620" s="21" t="s">
        <v>1182</v>
      </c>
      <c r="F620" s="162" t="str">
        <f>IF(wskakunin_kanri3_TOUROKU_KIKAN__label="","",wskakunin_kanri3_TOUROKU_KIKAN__label)</f>
        <v/>
      </c>
      <c r="G620" s="22"/>
      <c r="H620" s="22"/>
    </row>
    <row r="621" spans="1:8" ht="12">
      <c r="A621" s="35"/>
      <c r="B621" s="80" t="s">
        <v>404</v>
      </c>
      <c r="C621" s="21" t="s">
        <v>1183</v>
      </c>
      <c r="D621" s="255" t="s">
        <v>112</v>
      </c>
      <c r="E621" s="21" t="s">
        <v>1184</v>
      </c>
      <c r="F621" s="162" t="str">
        <f>IF(wskakunin_kanri3_KENTIKUSI_NO="","",wskakunin_kanri3_KENTIKUSI_NO)</f>
        <v/>
      </c>
      <c r="G621" s="22"/>
      <c r="H621" s="22"/>
    </row>
    <row r="622" spans="1:8" ht="12">
      <c r="A622" s="63"/>
      <c r="B622" s="74" t="s">
        <v>194</v>
      </c>
      <c r="C622" s="21" t="s">
        <v>1185</v>
      </c>
      <c r="D622" s="162" t="s">
        <v>112</v>
      </c>
      <c r="E622" s="21" t="s">
        <v>1186</v>
      </c>
      <c r="F622" s="162" t="str">
        <f>IF(wskakunin_kanri3_NAME="", "", wskakunin_kanri3_NAME)</f>
        <v/>
      </c>
      <c r="G622" s="22"/>
      <c r="H622" s="22"/>
    </row>
    <row r="623" spans="1:8" ht="12">
      <c r="A623" s="63"/>
      <c r="B623" s="74" t="s">
        <v>416</v>
      </c>
      <c r="C623" s="21" t="s">
        <v>1187</v>
      </c>
      <c r="D623" s="162" t="s">
        <v>112</v>
      </c>
      <c r="E623" s="21" t="s">
        <v>1188</v>
      </c>
      <c r="F623" s="162" t="str">
        <f>IF(wskakunin_kanri3_JIMU__sikaku="", "", wskakunin_kanri3_JIMU__sikaku)</f>
        <v/>
      </c>
      <c r="G623" s="22"/>
      <c r="H623" s="22"/>
    </row>
    <row r="624" spans="1:8" ht="12">
      <c r="A624" s="47"/>
      <c r="B624" s="80" t="s">
        <v>420</v>
      </c>
      <c r="C624" s="21" t="s">
        <v>1189</v>
      </c>
      <c r="D624" s="162" t="s">
        <v>112</v>
      </c>
      <c r="E624" s="21" t="s">
        <v>1190</v>
      </c>
      <c r="F624" s="162" t="str">
        <f>IF(wskakunin_kanri3_JIMU_SIKAKU__label="","",wskakunin_kanri3_JIMU_SIKAKU__label)</f>
        <v/>
      </c>
      <c r="G624" s="22"/>
      <c r="H624" s="22"/>
    </row>
    <row r="625" spans="1:8" ht="12">
      <c r="A625" s="47"/>
      <c r="B625" s="80" t="s">
        <v>423</v>
      </c>
      <c r="C625" s="21" t="s">
        <v>1191</v>
      </c>
      <c r="D625" s="162" t="s">
        <v>112</v>
      </c>
      <c r="E625" s="21" t="s">
        <v>1192</v>
      </c>
      <c r="F625" s="162" t="str">
        <f>IF(wskakunin_kanri3_JIMU_TOUROKU_KIKAN__label="","",wskakunin_kanri3_JIMU_TOUROKU_KIKAN__label)</f>
        <v/>
      </c>
      <c r="G625" s="22"/>
      <c r="H625" s="22"/>
    </row>
    <row r="626" spans="1:8" ht="12">
      <c r="A626" s="47"/>
      <c r="B626" s="80" t="s">
        <v>427</v>
      </c>
      <c r="C626" s="21" t="s">
        <v>1193</v>
      </c>
      <c r="D626" s="255" t="s">
        <v>112</v>
      </c>
      <c r="E626" s="21" t="s">
        <v>1194</v>
      </c>
      <c r="F626" s="162" t="str">
        <f>IF(wskakunin_kanri3_JIMU_NO="","",wskakunin_kanri3_JIMU_NO)</f>
        <v/>
      </c>
      <c r="G626" s="22"/>
      <c r="H626" s="22"/>
    </row>
    <row r="627" spans="1:8" ht="12">
      <c r="A627" s="63"/>
      <c r="B627" s="74" t="s">
        <v>431</v>
      </c>
      <c r="C627" s="21" t="s">
        <v>1195</v>
      </c>
      <c r="D627" s="162" t="s">
        <v>112</v>
      </c>
      <c r="E627" s="21" t="s">
        <v>1196</v>
      </c>
      <c r="F627" s="162" t="str">
        <f>IF(wskakunin_kanri3_JIMU_NAME="", "", wskakunin_kanri3_JIMU_NAME)</f>
        <v/>
      </c>
      <c r="G627" s="22"/>
      <c r="H627" s="22"/>
    </row>
    <row r="628" spans="1:8" ht="12">
      <c r="A628" s="63"/>
      <c r="B628" s="74" t="s">
        <v>205</v>
      </c>
      <c r="C628" s="21" t="s">
        <v>1197</v>
      </c>
      <c r="D628" s="255" t="s">
        <v>112</v>
      </c>
      <c r="E628" s="21" t="s">
        <v>1198</v>
      </c>
      <c r="F628" s="162" t="str">
        <f>IF(wskakunin_kanri3_ZIP="", "", wskakunin_kanri3_ZIP)</f>
        <v/>
      </c>
      <c r="G628" s="22"/>
      <c r="H628" s="22"/>
    </row>
    <row r="629" spans="1:8" ht="12">
      <c r="A629" s="63"/>
      <c r="B629" s="74" t="s">
        <v>438</v>
      </c>
      <c r="C629" s="21" t="s">
        <v>1199</v>
      </c>
      <c r="D629" s="162" t="s">
        <v>112</v>
      </c>
      <c r="E629" s="21" t="s">
        <v>1200</v>
      </c>
      <c r="F629" s="162" t="str">
        <f>IF(wskakunin_kanri3__address="", "", wskakunin_kanri3__address)</f>
        <v/>
      </c>
      <c r="G629" s="22"/>
      <c r="H629" s="22"/>
    </row>
    <row r="630" spans="1:8" ht="12">
      <c r="A630" s="63"/>
      <c r="B630" s="74" t="s">
        <v>214</v>
      </c>
      <c r="C630" s="21" t="s">
        <v>1201</v>
      </c>
      <c r="D630" s="255" t="s">
        <v>112</v>
      </c>
      <c r="E630" s="21" t="s">
        <v>1202</v>
      </c>
      <c r="F630" s="162" t="str">
        <f>IF(wskakunin_kanri3_TEL="", "", wskakunin_kanri3_TEL)</f>
        <v/>
      </c>
      <c r="G630" s="22"/>
      <c r="H630" s="22"/>
    </row>
    <row r="631" spans="1:8" ht="12">
      <c r="A631" s="63"/>
      <c r="B631" s="74" t="s">
        <v>610</v>
      </c>
      <c r="C631" s="21" t="s">
        <v>1203</v>
      </c>
      <c r="D631" s="255" t="s">
        <v>112</v>
      </c>
      <c r="E631" s="21" t="s">
        <v>1204</v>
      </c>
      <c r="F631" s="162" t="str">
        <f>IF(wskakunin_kanri3_DOC="","",wskakunin_kanri3_DOC)</f>
        <v/>
      </c>
      <c r="G631" s="22"/>
      <c r="H631" s="22"/>
    </row>
    <row r="632" spans="1:8" ht="12">
      <c r="A632" s="47"/>
      <c r="B632" s="77"/>
      <c r="G632" s="22"/>
      <c r="H632" s="22"/>
    </row>
    <row r="633" spans="1:8" ht="12">
      <c r="A633" s="148" t="s">
        <v>1205</v>
      </c>
      <c r="B633" s="47" t="s">
        <v>1147</v>
      </c>
      <c r="G633" s="22"/>
      <c r="H633" s="22"/>
    </row>
    <row r="634" spans="1:8" ht="12">
      <c r="A634" s="30"/>
      <c r="B634" s="74" t="s">
        <v>392</v>
      </c>
      <c r="C634" s="21" t="s">
        <v>1206</v>
      </c>
      <c r="D634" s="162" t="s">
        <v>112</v>
      </c>
      <c r="E634" s="21" t="s">
        <v>1207</v>
      </c>
      <c r="F634" s="162" t="str">
        <f>IF(wskakunin_kanri4__sikaku="", "", wskakunin_kanri4__sikaku)</f>
        <v/>
      </c>
      <c r="G634" s="22"/>
      <c r="H634" s="22"/>
    </row>
    <row r="635" spans="1:8" ht="12">
      <c r="A635" s="30"/>
      <c r="B635" s="74" t="s">
        <v>396</v>
      </c>
      <c r="C635" s="21" t="s">
        <v>1208</v>
      </c>
      <c r="D635" s="162" t="s">
        <v>112</v>
      </c>
      <c r="E635" s="21" t="s">
        <v>1209</v>
      </c>
      <c r="F635" s="162" t="str">
        <f>IF(wskakunin_kanri4_SIKAKU__label="", "", wskakunin_kanri4_SIKAKU__label)</f>
        <v/>
      </c>
      <c r="G635" s="22"/>
      <c r="H635" s="22"/>
    </row>
    <row r="636" spans="1:8" ht="12">
      <c r="A636" s="35"/>
      <c r="B636" s="80" t="s">
        <v>400</v>
      </c>
      <c r="C636" s="21" t="s">
        <v>1210</v>
      </c>
      <c r="D636" s="162" t="s">
        <v>112</v>
      </c>
      <c r="E636" s="21" t="s">
        <v>1211</v>
      </c>
      <c r="F636" s="162" t="str">
        <f>IF(wskakunin_kanri4_TOUROKU_KIKAN__label="","",wskakunin_kanri4_TOUROKU_KIKAN__label)</f>
        <v/>
      </c>
      <c r="G636" s="22"/>
      <c r="H636" s="22"/>
    </row>
    <row r="637" spans="1:8" ht="12">
      <c r="A637" s="35"/>
      <c r="B637" s="80" t="s">
        <v>404</v>
      </c>
      <c r="C637" s="21" t="s">
        <v>1212</v>
      </c>
      <c r="D637" s="255" t="s">
        <v>112</v>
      </c>
      <c r="E637" s="21" t="s">
        <v>1213</v>
      </c>
      <c r="F637" s="162" t="str">
        <f>IF(wskakunin_kanri4_KENTIKUSI_NO="","",wskakunin_kanri4_KENTIKUSI_NO)</f>
        <v/>
      </c>
      <c r="G637" s="22"/>
      <c r="H637" s="22"/>
    </row>
    <row r="638" spans="1:8" ht="12">
      <c r="A638" s="63"/>
      <c r="B638" s="74" t="s">
        <v>194</v>
      </c>
      <c r="C638" s="21" t="s">
        <v>1214</v>
      </c>
      <c r="D638" s="162" t="s">
        <v>112</v>
      </c>
      <c r="E638" s="21" t="s">
        <v>1215</v>
      </c>
      <c r="F638" s="162" t="str">
        <f>IF(wskakunin_kanri4_NAME="", "", wskakunin_kanri4_NAME)</f>
        <v/>
      </c>
      <c r="G638" s="22"/>
      <c r="H638" s="22"/>
    </row>
    <row r="639" spans="1:8" ht="12">
      <c r="A639" s="63"/>
      <c r="B639" s="74" t="s">
        <v>416</v>
      </c>
      <c r="C639" s="21" t="s">
        <v>1216</v>
      </c>
      <c r="D639" s="162" t="s">
        <v>112</v>
      </c>
      <c r="E639" s="21" t="s">
        <v>1217</v>
      </c>
      <c r="F639" s="162" t="str">
        <f>IF(wskakunin_kanri4_JIMU__sikaku="", "", wskakunin_kanri4_JIMU__sikaku)</f>
        <v/>
      </c>
      <c r="G639" s="22"/>
      <c r="H639" s="22"/>
    </row>
    <row r="640" spans="1:8" ht="12">
      <c r="A640" s="47"/>
      <c r="B640" s="80" t="s">
        <v>420</v>
      </c>
      <c r="C640" s="21" t="s">
        <v>1218</v>
      </c>
      <c r="D640" s="162" t="s">
        <v>112</v>
      </c>
      <c r="E640" s="21" t="s">
        <v>1219</v>
      </c>
      <c r="F640" s="162" t="str">
        <f>IF(wskakunin_kanri4_JIMU_SIKAKU__label="","",wskakunin_kanri4_JIMU_SIKAKU__label)</f>
        <v/>
      </c>
      <c r="G640" s="22"/>
      <c r="H640" s="22"/>
    </row>
    <row r="641" spans="1:8" ht="12">
      <c r="A641" s="47"/>
      <c r="B641" s="80" t="s">
        <v>423</v>
      </c>
      <c r="C641" s="21" t="s">
        <v>1220</v>
      </c>
      <c r="D641" s="162" t="s">
        <v>112</v>
      </c>
      <c r="E641" s="21" t="s">
        <v>1221</v>
      </c>
      <c r="F641" s="162" t="str">
        <f>IF(wskakunin_kanri4_JIMU_TOUROKU_KIKAN__label="","",wskakunin_kanri4_JIMU_TOUROKU_KIKAN__label)</f>
        <v/>
      </c>
      <c r="G641" s="22"/>
      <c r="H641" s="22"/>
    </row>
    <row r="642" spans="1:8" ht="12">
      <c r="A642" s="47"/>
      <c r="B642" s="80" t="s">
        <v>427</v>
      </c>
      <c r="C642" s="21" t="s">
        <v>1222</v>
      </c>
      <c r="D642" s="255" t="s">
        <v>112</v>
      </c>
      <c r="E642" s="21" t="s">
        <v>1223</v>
      </c>
      <c r="F642" s="162" t="str">
        <f>IF(wskakunin_kanri4_JIMU_NO="","",wskakunin_kanri4_JIMU_NO)</f>
        <v/>
      </c>
      <c r="G642" s="22"/>
      <c r="H642" s="22"/>
    </row>
    <row r="643" spans="1:8" ht="12">
      <c r="A643" s="63"/>
      <c r="B643" s="74" t="s">
        <v>431</v>
      </c>
      <c r="C643" s="21" t="s">
        <v>1224</v>
      </c>
      <c r="D643" s="162" t="s">
        <v>112</v>
      </c>
      <c r="E643" s="21" t="s">
        <v>1225</v>
      </c>
      <c r="F643" s="162" t="str">
        <f>IF(wskakunin_kanri4_JIMU_NAME="", "", wskakunin_kanri4_JIMU_NAME)</f>
        <v/>
      </c>
      <c r="G643" s="22"/>
      <c r="H643" s="22"/>
    </row>
    <row r="644" spans="1:8" ht="12">
      <c r="A644" s="63"/>
      <c r="B644" s="74" t="s">
        <v>205</v>
      </c>
      <c r="C644" s="21" t="s">
        <v>1226</v>
      </c>
      <c r="D644" s="255" t="s">
        <v>112</v>
      </c>
      <c r="E644" s="21" t="s">
        <v>1227</v>
      </c>
      <c r="F644" s="162" t="str">
        <f>IF(wskakunin_kanri4_ZIP="", "", wskakunin_kanri4_ZIP)</f>
        <v/>
      </c>
      <c r="G644" s="22"/>
      <c r="H644" s="22"/>
    </row>
    <row r="645" spans="1:8" ht="12">
      <c r="A645" s="63"/>
      <c r="B645" s="74" t="s">
        <v>438</v>
      </c>
      <c r="C645" s="21" t="s">
        <v>1228</v>
      </c>
      <c r="D645" s="162" t="s">
        <v>112</v>
      </c>
      <c r="E645" s="21" t="s">
        <v>1229</v>
      </c>
      <c r="F645" s="162" t="str">
        <f>IF(wskakunin_kanri4__address="", "", wskakunin_kanri4__address)</f>
        <v/>
      </c>
      <c r="G645" s="22"/>
      <c r="H645" s="22"/>
    </row>
    <row r="646" spans="1:8" ht="12">
      <c r="A646" s="63"/>
      <c r="B646" s="74" t="s">
        <v>214</v>
      </c>
      <c r="C646" s="21" t="s">
        <v>1230</v>
      </c>
      <c r="D646" s="255" t="s">
        <v>112</v>
      </c>
      <c r="E646" s="21" t="s">
        <v>1231</v>
      </c>
      <c r="F646" s="162" t="str">
        <f>IF(wskakunin_kanri4_TEL="", "", wskakunin_kanri4_TEL)</f>
        <v/>
      </c>
      <c r="G646" s="22"/>
      <c r="H646" s="22"/>
    </row>
    <row r="647" spans="1:8" ht="12">
      <c r="A647" s="63"/>
      <c r="B647" s="74" t="s">
        <v>610</v>
      </c>
      <c r="C647" s="21" t="s">
        <v>1232</v>
      </c>
      <c r="D647" s="255" t="s">
        <v>112</v>
      </c>
      <c r="E647" s="21" t="s">
        <v>1233</v>
      </c>
      <c r="F647" s="162" t="str">
        <f>IF(wskakunin_kanri4_DOC="","",wskakunin_kanri4_DOC)</f>
        <v/>
      </c>
      <c r="G647" s="22"/>
      <c r="H647" s="22"/>
    </row>
    <row r="648" spans="1:8" ht="12">
      <c r="A648" s="47"/>
      <c r="B648" s="78"/>
      <c r="G648" s="22"/>
      <c r="H648" s="22"/>
    </row>
    <row r="649" spans="1:8" ht="12">
      <c r="A649" s="148" t="s">
        <v>1234</v>
      </c>
      <c r="B649" s="47" t="s">
        <v>1147</v>
      </c>
      <c r="G649" s="22"/>
      <c r="H649" s="22"/>
    </row>
    <row r="650" spans="1:8" ht="12">
      <c r="A650" s="30"/>
      <c r="B650" s="74" t="s">
        <v>392</v>
      </c>
      <c r="C650" s="21" t="s">
        <v>1235</v>
      </c>
      <c r="D650" s="162" t="s">
        <v>112</v>
      </c>
      <c r="E650" s="21" t="s">
        <v>1236</v>
      </c>
      <c r="F650" s="162" t="str">
        <f>IF(wskakunin_kanri5__sikaku="", "", wskakunin_kanri5__sikaku)</f>
        <v/>
      </c>
      <c r="H650" s="22"/>
    </row>
    <row r="651" spans="1:8" ht="12">
      <c r="A651" s="30"/>
      <c r="B651" s="74" t="s">
        <v>396</v>
      </c>
      <c r="C651" s="21" t="s">
        <v>1237</v>
      </c>
      <c r="D651" s="162" t="s">
        <v>112</v>
      </c>
      <c r="E651" s="21" t="s">
        <v>1238</v>
      </c>
      <c r="F651" s="162" t="str">
        <f>IF(wskakunin_kanri5_SIKAKU__label="", "", wskakunin_kanri5_SIKAKU__label)</f>
        <v/>
      </c>
      <c r="H651" s="22"/>
    </row>
    <row r="652" spans="1:8" ht="12">
      <c r="A652" s="35"/>
      <c r="B652" s="80" t="s">
        <v>400</v>
      </c>
      <c r="C652" s="21" t="s">
        <v>1239</v>
      </c>
      <c r="D652" s="162" t="s">
        <v>112</v>
      </c>
      <c r="E652" s="21" t="s">
        <v>1240</v>
      </c>
      <c r="F652" s="162" t="str">
        <f>IF(wskakunin_kanri5_TOUROKU_KIKAN__label="","",wskakunin_kanri5_TOUROKU_KIKAN__label)</f>
        <v/>
      </c>
      <c r="H652" s="22"/>
    </row>
    <row r="653" spans="1:8" ht="12">
      <c r="A653" s="35"/>
      <c r="B653" s="80" t="s">
        <v>404</v>
      </c>
      <c r="C653" s="21" t="s">
        <v>1241</v>
      </c>
      <c r="D653" s="255" t="s">
        <v>112</v>
      </c>
      <c r="E653" s="21" t="s">
        <v>1242</v>
      </c>
      <c r="F653" s="162" t="str">
        <f>IF(wskakunin_kanri5_KENTIKUSI_NO="","",wskakunin_kanri5_KENTIKUSI_NO)</f>
        <v/>
      </c>
      <c r="H653" s="22"/>
    </row>
    <row r="654" spans="1:8" ht="12">
      <c r="A654" s="63"/>
      <c r="B654" s="74" t="s">
        <v>194</v>
      </c>
      <c r="C654" s="21" t="s">
        <v>1243</v>
      </c>
      <c r="D654" s="162" t="s">
        <v>112</v>
      </c>
      <c r="E654" s="21" t="s">
        <v>1244</v>
      </c>
      <c r="F654" s="162" t="str">
        <f>IF(wskakunin_kanri5_NAME="", "", wskakunin_kanri5_NAME)</f>
        <v/>
      </c>
      <c r="H654" s="22"/>
    </row>
    <row r="655" spans="1:8" ht="12">
      <c r="A655" s="63"/>
      <c r="B655" s="74" t="s">
        <v>416</v>
      </c>
      <c r="C655" s="21" t="s">
        <v>1245</v>
      </c>
      <c r="D655" s="162" t="s">
        <v>112</v>
      </c>
      <c r="E655" s="21" t="s">
        <v>1246</v>
      </c>
      <c r="F655" s="162" t="str">
        <f>IF(wskakunin_kanri5_JIMU__sikaku="", "", wskakunin_kanri5_JIMU__sikaku)</f>
        <v/>
      </c>
      <c r="H655" s="22"/>
    </row>
    <row r="656" spans="1:8" ht="12">
      <c r="A656" s="47"/>
      <c r="B656" s="80" t="s">
        <v>420</v>
      </c>
      <c r="C656" s="21" t="s">
        <v>1247</v>
      </c>
      <c r="D656" s="162" t="s">
        <v>112</v>
      </c>
      <c r="E656" s="21" t="s">
        <v>1248</v>
      </c>
      <c r="F656" s="162" t="str">
        <f>IF(wskakunin_kanri5_JIMU_SIKAKU__label="","",wskakunin_kanri5_JIMU_SIKAKU__label)</f>
        <v/>
      </c>
      <c r="H656" s="22"/>
    </row>
    <row r="657" spans="1:8" ht="12">
      <c r="A657" s="47"/>
      <c r="B657" s="80" t="s">
        <v>423</v>
      </c>
      <c r="C657" s="21" t="s">
        <v>1249</v>
      </c>
      <c r="D657" s="162" t="s">
        <v>112</v>
      </c>
      <c r="E657" s="21" t="s">
        <v>1250</v>
      </c>
      <c r="F657" s="162" t="str">
        <f>IF(wskakunin_kanri5_JIMU_TOUROKU_KIKAN__label="","",wskakunin_kanri5_JIMU_TOUROKU_KIKAN__label)</f>
        <v/>
      </c>
      <c r="H657" s="22"/>
    </row>
    <row r="658" spans="1:8" ht="12">
      <c r="A658" s="47"/>
      <c r="B658" s="80" t="s">
        <v>427</v>
      </c>
      <c r="C658" s="21" t="s">
        <v>1251</v>
      </c>
      <c r="D658" s="255" t="s">
        <v>112</v>
      </c>
      <c r="E658" s="21" t="s">
        <v>1252</v>
      </c>
      <c r="F658" s="162" t="str">
        <f>IF(wskakunin_kanri5_JIMU_NO="","",wskakunin_kanri5_JIMU_NO)</f>
        <v/>
      </c>
      <c r="H658" s="22"/>
    </row>
    <row r="659" spans="1:8" ht="12">
      <c r="A659" s="63"/>
      <c r="B659" s="74" t="s">
        <v>431</v>
      </c>
      <c r="C659" s="21" t="s">
        <v>1253</v>
      </c>
      <c r="D659" s="162" t="s">
        <v>112</v>
      </c>
      <c r="E659" s="21" t="s">
        <v>1254</v>
      </c>
      <c r="F659" s="162" t="str">
        <f>IF(wskakunin_kanri5_JIMU_NAME="", "", wskakunin_kanri5_JIMU_NAME)</f>
        <v/>
      </c>
      <c r="H659" s="22"/>
    </row>
    <row r="660" spans="1:8" ht="12">
      <c r="A660" s="63"/>
      <c r="B660" s="74" t="s">
        <v>205</v>
      </c>
      <c r="C660" s="21" t="s">
        <v>1255</v>
      </c>
      <c r="D660" s="255" t="s">
        <v>112</v>
      </c>
      <c r="E660" s="21" t="s">
        <v>1256</v>
      </c>
      <c r="F660" s="162" t="str">
        <f>IF(wskakunin_kanri5_ZIP="", "", wskakunin_kanri5_ZIP)</f>
        <v/>
      </c>
      <c r="H660" s="22"/>
    </row>
    <row r="661" spans="1:8" ht="12">
      <c r="A661" s="63"/>
      <c r="B661" s="74" t="s">
        <v>438</v>
      </c>
      <c r="C661" s="21" t="s">
        <v>1257</v>
      </c>
      <c r="D661" s="162" t="s">
        <v>112</v>
      </c>
      <c r="E661" s="21" t="s">
        <v>1258</v>
      </c>
      <c r="F661" s="162" t="str">
        <f>IF(wskakunin_kanri5__address="", "", wskakunin_kanri5__address)</f>
        <v/>
      </c>
      <c r="H661" s="22"/>
    </row>
    <row r="662" spans="1:8" ht="12">
      <c r="A662" s="63"/>
      <c r="B662" s="74" t="s">
        <v>214</v>
      </c>
      <c r="C662" s="21" t="s">
        <v>1259</v>
      </c>
      <c r="D662" s="255" t="s">
        <v>112</v>
      </c>
      <c r="E662" s="21" t="s">
        <v>1260</v>
      </c>
      <c r="F662" s="162" t="str">
        <f>IF(wskakunin_kanri5_TEL="", "", wskakunin_kanri5_TEL)</f>
        <v/>
      </c>
      <c r="H662" s="22"/>
    </row>
    <row r="663" spans="1:8" ht="12">
      <c r="A663" s="63"/>
      <c r="B663" s="74" t="s">
        <v>610</v>
      </c>
      <c r="C663" s="21" t="s">
        <v>1261</v>
      </c>
      <c r="D663" s="255" t="s">
        <v>112</v>
      </c>
      <c r="E663" s="21" t="s">
        <v>1262</v>
      </c>
      <c r="F663" s="162" t="str">
        <f>IF(wskakunin_kanri5_DOC="","",wskakunin_kanri5_DOC)</f>
        <v/>
      </c>
      <c r="H663" s="22"/>
    </row>
    <row r="664" spans="1:8" ht="12">
      <c r="A664" s="47"/>
      <c r="B664" s="77"/>
      <c r="H664" s="22"/>
    </row>
    <row r="665" spans="1:8" ht="12">
      <c r="A665" s="148" t="s">
        <v>1263</v>
      </c>
      <c r="B665" s="47" t="s">
        <v>1147</v>
      </c>
      <c r="H665" s="22"/>
    </row>
    <row r="666" spans="1:8" ht="12">
      <c r="A666" s="30"/>
      <c r="B666" s="74" t="s">
        <v>392</v>
      </c>
      <c r="C666" s="21" t="s">
        <v>1264</v>
      </c>
      <c r="D666" s="162" t="s">
        <v>112</v>
      </c>
      <c r="E666" s="21" t="s">
        <v>1265</v>
      </c>
      <c r="F666" s="162" t="str">
        <f>IF(wskakunin_kanri6__sikaku="", "", wskakunin_kanri6__sikaku)</f>
        <v/>
      </c>
      <c r="H666" s="22"/>
    </row>
    <row r="667" spans="1:8" ht="12">
      <c r="A667" s="30"/>
      <c r="B667" s="74" t="s">
        <v>396</v>
      </c>
      <c r="C667" s="21" t="s">
        <v>1266</v>
      </c>
      <c r="D667" s="162" t="s">
        <v>112</v>
      </c>
      <c r="E667" s="21" t="s">
        <v>1267</v>
      </c>
      <c r="F667" s="162" t="str">
        <f>IF(wskakunin_kanri6_SIKAKU__label="", "", wskakunin_kanri6_SIKAKU__label)</f>
        <v/>
      </c>
      <c r="H667" s="22"/>
    </row>
    <row r="668" spans="1:8" ht="12">
      <c r="A668" s="35"/>
      <c r="B668" s="80" t="s">
        <v>400</v>
      </c>
      <c r="C668" s="21" t="s">
        <v>1268</v>
      </c>
      <c r="D668" s="162" t="s">
        <v>112</v>
      </c>
      <c r="E668" s="21" t="s">
        <v>1269</v>
      </c>
      <c r="F668" s="162" t="str">
        <f>IF(wskakunin_kanri6_TOUROKU_KIKAN__label="","",wskakunin_kanri6_TOUROKU_KIKAN__label)</f>
        <v/>
      </c>
      <c r="H668" s="22"/>
    </row>
    <row r="669" spans="1:8" ht="12">
      <c r="A669" s="35"/>
      <c r="B669" s="80" t="s">
        <v>404</v>
      </c>
      <c r="C669" s="21" t="s">
        <v>1270</v>
      </c>
      <c r="D669" s="255" t="s">
        <v>112</v>
      </c>
      <c r="E669" s="21" t="s">
        <v>1271</v>
      </c>
      <c r="F669" s="162" t="str">
        <f>IF(wskakunin_kanri6_KENTIKUSI_NO="","",wskakunin_kanri6_KENTIKUSI_NO)</f>
        <v/>
      </c>
      <c r="H669" s="22"/>
    </row>
    <row r="670" spans="1:8" ht="12">
      <c r="A670" s="63"/>
      <c r="B670" s="74" t="s">
        <v>194</v>
      </c>
      <c r="C670" s="21" t="s">
        <v>1272</v>
      </c>
      <c r="D670" s="162" t="s">
        <v>112</v>
      </c>
      <c r="E670" s="21" t="s">
        <v>1273</v>
      </c>
      <c r="F670" s="162" t="str">
        <f>IF(wskakunin_kanri6_NAME="", "", wskakunin_kanri6_NAME)</f>
        <v/>
      </c>
      <c r="H670" s="22"/>
    </row>
    <row r="671" spans="1:8" ht="12">
      <c r="A671" s="63"/>
      <c r="B671" s="74" t="s">
        <v>416</v>
      </c>
      <c r="C671" s="21" t="s">
        <v>1274</v>
      </c>
      <c r="D671" s="162" t="s">
        <v>112</v>
      </c>
      <c r="E671" s="21" t="s">
        <v>1275</v>
      </c>
      <c r="F671" s="162" t="str">
        <f>IF(wskakunin_kanri6_JIMU__sikaku="", "", wskakunin_kanri6_JIMU__sikaku)</f>
        <v/>
      </c>
      <c r="H671" s="22"/>
    </row>
    <row r="672" spans="1:8" ht="12">
      <c r="A672" s="47"/>
      <c r="B672" s="80" t="s">
        <v>420</v>
      </c>
      <c r="C672" s="21" t="s">
        <v>1276</v>
      </c>
      <c r="D672" s="162" t="s">
        <v>112</v>
      </c>
      <c r="E672" s="21" t="s">
        <v>1277</v>
      </c>
      <c r="F672" s="162" t="str">
        <f>IF(wskakunin_kanri6_JIMU_SIKAKU__label="","",wskakunin_kanri6_JIMU_SIKAKU__label)</f>
        <v/>
      </c>
      <c r="H672" s="22"/>
    </row>
    <row r="673" spans="1:8" ht="12">
      <c r="A673" s="47"/>
      <c r="B673" s="80" t="s">
        <v>423</v>
      </c>
      <c r="C673" s="21" t="s">
        <v>1278</v>
      </c>
      <c r="D673" s="162" t="s">
        <v>112</v>
      </c>
      <c r="E673" s="21" t="s">
        <v>1279</v>
      </c>
      <c r="F673" s="162" t="str">
        <f>IF(wskakunin_kanri6_JIMU_TOUROKU_KIKAN__label="","",wskakunin_kanri6_JIMU_TOUROKU_KIKAN__label)</f>
        <v/>
      </c>
      <c r="H673" s="22"/>
    </row>
    <row r="674" spans="1:8" ht="12">
      <c r="A674" s="47"/>
      <c r="B674" s="80" t="s">
        <v>427</v>
      </c>
      <c r="C674" s="21" t="s">
        <v>1280</v>
      </c>
      <c r="D674" s="255" t="s">
        <v>112</v>
      </c>
      <c r="E674" s="21" t="s">
        <v>1281</v>
      </c>
      <c r="F674" s="162" t="str">
        <f>IF(wskakunin_kanri6_JIMU_NO="","",wskakunin_kanri6_JIMU_NO)</f>
        <v/>
      </c>
      <c r="H674" s="22"/>
    </row>
    <row r="675" spans="1:8" ht="12">
      <c r="A675" s="63"/>
      <c r="B675" s="74" t="s">
        <v>431</v>
      </c>
      <c r="C675" s="21" t="s">
        <v>1282</v>
      </c>
      <c r="D675" s="162" t="s">
        <v>112</v>
      </c>
      <c r="E675" s="21" t="s">
        <v>1283</v>
      </c>
      <c r="F675" s="162" t="str">
        <f>IF(wskakunin_kanri6_JIMU_NAME="", "", wskakunin_kanri6_JIMU_NAME)</f>
        <v/>
      </c>
      <c r="H675" s="22"/>
    </row>
    <row r="676" spans="1:8" ht="12">
      <c r="A676" s="63"/>
      <c r="B676" s="74" t="s">
        <v>205</v>
      </c>
      <c r="C676" s="21" t="s">
        <v>1284</v>
      </c>
      <c r="D676" s="255" t="s">
        <v>112</v>
      </c>
      <c r="E676" s="21" t="s">
        <v>1285</v>
      </c>
      <c r="F676" s="162" t="str">
        <f>IF(wskakunin_kanri6_ZIP="", "", wskakunin_kanri6_ZIP)</f>
        <v/>
      </c>
      <c r="H676" s="22"/>
    </row>
    <row r="677" spans="1:8" ht="12">
      <c r="A677" s="63"/>
      <c r="B677" s="74" t="s">
        <v>438</v>
      </c>
      <c r="C677" s="21" t="s">
        <v>1286</v>
      </c>
      <c r="D677" s="162" t="s">
        <v>112</v>
      </c>
      <c r="E677" s="21" t="s">
        <v>1287</v>
      </c>
      <c r="F677" s="162" t="str">
        <f>IF(wskakunin_kanri6__address="", "", wskakunin_kanri6__address)</f>
        <v/>
      </c>
      <c r="H677" s="22"/>
    </row>
    <row r="678" spans="1:8" ht="12">
      <c r="A678" s="63"/>
      <c r="B678" s="74" t="s">
        <v>214</v>
      </c>
      <c r="C678" s="21" t="s">
        <v>1288</v>
      </c>
      <c r="D678" s="255" t="s">
        <v>112</v>
      </c>
      <c r="E678" s="21" t="s">
        <v>1289</v>
      </c>
      <c r="F678" s="162" t="str">
        <f>IF(wskakunin_kanri6_TEL="", "", wskakunin_kanri6_TEL)</f>
        <v/>
      </c>
      <c r="H678" s="22"/>
    </row>
    <row r="679" spans="1:8" ht="12">
      <c r="A679" s="63"/>
      <c r="B679" s="74" t="s">
        <v>610</v>
      </c>
      <c r="C679" s="21" t="s">
        <v>1290</v>
      </c>
      <c r="D679" s="255" t="s">
        <v>112</v>
      </c>
      <c r="E679" s="21" t="s">
        <v>1291</v>
      </c>
      <c r="F679" s="162" t="str">
        <f>IF(wskakunin_kanri6_DOC="","",wskakunin_kanri6_DOC)</f>
        <v/>
      </c>
      <c r="H679" s="22"/>
    </row>
    <row r="680" spans="1:8" ht="12">
      <c r="A680" s="47"/>
      <c r="B680" s="77"/>
      <c r="H680" s="22"/>
    </row>
    <row r="681" spans="1:8" ht="12">
      <c r="A681" s="148" t="s">
        <v>1292</v>
      </c>
      <c r="B681" s="47" t="s">
        <v>1147</v>
      </c>
      <c r="H681" s="22"/>
    </row>
    <row r="682" spans="1:8" ht="12">
      <c r="A682" s="30"/>
      <c r="B682" s="74" t="s">
        <v>392</v>
      </c>
      <c r="C682" s="21" t="s">
        <v>1293</v>
      </c>
      <c r="D682" s="162" t="s">
        <v>112</v>
      </c>
      <c r="E682" s="21" t="s">
        <v>1294</v>
      </c>
      <c r="F682" s="162" t="str">
        <f>IF(wskakunin_kanri7__sikaku="", "", wskakunin_kanri7__sikaku)</f>
        <v/>
      </c>
      <c r="H682" s="22"/>
    </row>
    <row r="683" spans="1:8" ht="12">
      <c r="A683" s="30"/>
      <c r="B683" s="74" t="s">
        <v>396</v>
      </c>
      <c r="C683" s="21" t="s">
        <v>1295</v>
      </c>
      <c r="D683" s="162" t="s">
        <v>112</v>
      </c>
      <c r="E683" s="21" t="s">
        <v>1296</v>
      </c>
      <c r="F683" s="162" t="str">
        <f>IF(wskakunin_kanri7_SIKAKU__label="", "", wskakunin_kanri7_SIKAKU__label)</f>
        <v/>
      </c>
      <c r="H683" s="22"/>
    </row>
    <row r="684" spans="1:8" ht="12">
      <c r="A684" s="35"/>
      <c r="B684" s="80" t="s">
        <v>400</v>
      </c>
      <c r="C684" s="21" t="s">
        <v>1297</v>
      </c>
      <c r="D684" s="162" t="s">
        <v>112</v>
      </c>
      <c r="E684" s="21" t="s">
        <v>1298</v>
      </c>
      <c r="F684" s="162" t="str">
        <f>IF(wskakunin_kanri7_TOUROKU_KIKAN__label="","",wskakunin_kanri7_TOUROKU_KIKAN__label)</f>
        <v/>
      </c>
      <c r="H684" s="22"/>
    </row>
    <row r="685" spans="1:8" ht="12">
      <c r="A685" s="35"/>
      <c r="B685" s="80" t="s">
        <v>404</v>
      </c>
      <c r="C685" s="21" t="s">
        <v>1299</v>
      </c>
      <c r="D685" s="255" t="s">
        <v>112</v>
      </c>
      <c r="E685" s="21" t="s">
        <v>1300</v>
      </c>
      <c r="F685" s="162" t="str">
        <f>IF(wskakunin_kanri7_KENTIKUSI_NO="","",wskakunin_kanri7_KENTIKUSI_NO)</f>
        <v/>
      </c>
      <c r="H685" s="22"/>
    </row>
    <row r="686" spans="1:8" ht="12">
      <c r="A686" s="63"/>
      <c r="B686" s="74" t="s">
        <v>194</v>
      </c>
      <c r="C686" s="21" t="s">
        <v>1301</v>
      </c>
      <c r="D686" s="162" t="s">
        <v>112</v>
      </c>
      <c r="E686" s="21" t="s">
        <v>1302</v>
      </c>
      <c r="F686" s="162" t="str">
        <f>IF(wskakunin_kanri7_NAME="", "", wskakunin_kanri7_NAME)</f>
        <v/>
      </c>
      <c r="H686" s="22"/>
    </row>
    <row r="687" spans="1:8" ht="12">
      <c r="A687" s="63"/>
      <c r="B687" s="74" t="s">
        <v>416</v>
      </c>
      <c r="C687" s="21" t="s">
        <v>1303</v>
      </c>
      <c r="D687" s="162" t="s">
        <v>112</v>
      </c>
      <c r="E687" s="21" t="s">
        <v>1304</v>
      </c>
      <c r="F687" s="162" t="str">
        <f>IF(wskakunin_kanri7_JIMU__sikaku="", "", wskakunin_kanri7_JIMU__sikaku)</f>
        <v/>
      </c>
      <c r="H687" s="22"/>
    </row>
    <row r="688" spans="1:8" ht="12">
      <c r="A688" s="47"/>
      <c r="B688" s="80" t="s">
        <v>420</v>
      </c>
      <c r="C688" s="21" t="s">
        <v>1305</v>
      </c>
      <c r="D688" s="162" t="s">
        <v>112</v>
      </c>
      <c r="E688" s="21" t="s">
        <v>1306</v>
      </c>
      <c r="F688" s="162" t="str">
        <f>IF(wskakunin_kanri7_JIMU_SIKAKU__label="","",wskakunin_kanri7_JIMU_SIKAKU__label)</f>
        <v/>
      </c>
      <c r="H688" s="22"/>
    </row>
    <row r="689" spans="1:8" ht="12">
      <c r="A689" s="47"/>
      <c r="B689" s="80" t="s">
        <v>423</v>
      </c>
      <c r="C689" s="21" t="s">
        <v>1307</v>
      </c>
      <c r="D689" s="162" t="s">
        <v>112</v>
      </c>
      <c r="E689" s="21" t="s">
        <v>1308</v>
      </c>
      <c r="F689" s="162" t="str">
        <f>IF(wskakunin_kanri7_JIMU_TOUROKU_KIKAN__label="","",wskakunin_kanri7_JIMU_TOUROKU_KIKAN__label)</f>
        <v/>
      </c>
      <c r="H689" s="22"/>
    </row>
    <row r="690" spans="1:8" ht="12">
      <c r="A690" s="47"/>
      <c r="B690" s="80" t="s">
        <v>427</v>
      </c>
      <c r="C690" s="21" t="s">
        <v>1309</v>
      </c>
      <c r="D690" s="255" t="s">
        <v>112</v>
      </c>
      <c r="E690" s="21" t="s">
        <v>1310</v>
      </c>
      <c r="F690" s="162" t="str">
        <f>IF(wskakunin_kanri7_JIMU_NO="","",wskakunin_kanri7_JIMU_NO)</f>
        <v/>
      </c>
      <c r="H690" s="22"/>
    </row>
    <row r="691" spans="1:8" ht="12">
      <c r="A691" s="63"/>
      <c r="B691" s="74" t="s">
        <v>431</v>
      </c>
      <c r="C691" s="21" t="s">
        <v>1311</v>
      </c>
      <c r="D691" s="162" t="s">
        <v>112</v>
      </c>
      <c r="E691" s="21" t="s">
        <v>1312</v>
      </c>
      <c r="F691" s="162" t="str">
        <f>IF(wskakunin_kanri7_JIMU_NAME="", "", wskakunin_kanri7_JIMU_NAME)</f>
        <v/>
      </c>
      <c r="H691" s="22"/>
    </row>
    <row r="692" spans="1:8" ht="12">
      <c r="A692" s="63"/>
      <c r="B692" s="74" t="s">
        <v>205</v>
      </c>
      <c r="C692" s="21" t="s">
        <v>1313</v>
      </c>
      <c r="D692" s="255" t="s">
        <v>112</v>
      </c>
      <c r="E692" s="21" t="s">
        <v>1314</v>
      </c>
      <c r="F692" s="162" t="str">
        <f>IF(wskakunin_kanri7_ZIP="", "", wskakunin_kanri7_ZIP)</f>
        <v/>
      </c>
      <c r="H692" s="22"/>
    </row>
    <row r="693" spans="1:8" ht="12">
      <c r="A693" s="63"/>
      <c r="B693" s="74" t="s">
        <v>438</v>
      </c>
      <c r="C693" s="21" t="s">
        <v>1315</v>
      </c>
      <c r="D693" s="162" t="s">
        <v>112</v>
      </c>
      <c r="E693" s="21" t="s">
        <v>1316</v>
      </c>
      <c r="F693" s="162" t="str">
        <f>IF(wskakunin_kanri7__address="", "", wskakunin_kanri7__address)</f>
        <v/>
      </c>
      <c r="H693" s="22"/>
    </row>
    <row r="694" spans="1:8" ht="12">
      <c r="A694" s="63"/>
      <c r="B694" s="74" t="s">
        <v>214</v>
      </c>
      <c r="C694" s="21" t="s">
        <v>1317</v>
      </c>
      <c r="D694" s="255" t="s">
        <v>112</v>
      </c>
      <c r="E694" s="21" t="s">
        <v>1318</v>
      </c>
      <c r="F694" s="162" t="str">
        <f>IF(wskakunin_kanri7_TEL="", "", wskakunin_kanri7_TEL)</f>
        <v/>
      </c>
      <c r="H694" s="22"/>
    </row>
    <row r="695" spans="1:8" ht="12">
      <c r="A695" s="63"/>
      <c r="B695" s="74" t="s">
        <v>610</v>
      </c>
      <c r="C695" s="21" t="s">
        <v>1319</v>
      </c>
      <c r="D695" s="255" t="s">
        <v>112</v>
      </c>
      <c r="E695" s="21" t="s">
        <v>1320</v>
      </c>
      <c r="F695" s="162" t="str">
        <f>IF(wskakunin_kanri7_DOC="","",wskakunin_kanri7_DOC)</f>
        <v/>
      </c>
      <c r="H695" s="22"/>
    </row>
    <row r="696" spans="1:8" ht="12">
      <c r="A696" s="47"/>
      <c r="B696" s="77"/>
      <c r="H696" s="22"/>
    </row>
    <row r="697" spans="1:8" ht="12">
      <c r="A697" s="148" t="s">
        <v>1321</v>
      </c>
      <c r="B697" s="47" t="s">
        <v>1147</v>
      </c>
      <c r="H697" s="22"/>
    </row>
    <row r="698" spans="1:8" ht="12">
      <c r="A698" s="30"/>
      <c r="B698" s="74" t="s">
        <v>392</v>
      </c>
      <c r="C698" s="21" t="s">
        <v>1322</v>
      </c>
      <c r="D698" s="162" t="s">
        <v>112</v>
      </c>
      <c r="E698" s="21" t="s">
        <v>1323</v>
      </c>
      <c r="F698" s="162" t="str">
        <f>IF(wskakunin_kanri8__sikaku="", "", wskakunin_kanri8__sikaku)</f>
        <v/>
      </c>
      <c r="H698" s="22"/>
    </row>
    <row r="699" spans="1:8" ht="12">
      <c r="A699" s="30"/>
      <c r="B699" s="74" t="s">
        <v>396</v>
      </c>
      <c r="C699" s="21" t="s">
        <v>1324</v>
      </c>
      <c r="D699" s="162" t="s">
        <v>112</v>
      </c>
      <c r="E699" s="21" t="s">
        <v>1325</v>
      </c>
      <c r="F699" s="162" t="str">
        <f>IF(wskakunin_kanri8_SIKAKU__label="", "", wskakunin_kanri8_SIKAKU__label)</f>
        <v/>
      </c>
      <c r="H699" s="22"/>
    </row>
    <row r="700" spans="1:8" ht="12">
      <c r="A700" s="35"/>
      <c r="B700" s="80" t="s">
        <v>400</v>
      </c>
      <c r="C700" s="21" t="s">
        <v>1326</v>
      </c>
      <c r="D700" s="162" t="s">
        <v>112</v>
      </c>
      <c r="E700" s="21" t="s">
        <v>1327</v>
      </c>
      <c r="F700" s="162" t="str">
        <f>IF(wskakunin_kanri8_TOUROKU_KIKAN__label="","",wskakunin_kanri8_TOUROKU_KIKAN__label)</f>
        <v/>
      </c>
      <c r="H700" s="22"/>
    </row>
    <row r="701" spans="1:8" ht="12">
      <c r="A701" s="35"/>
      <c r="B701" s="80" t="s">
        <v>404</v>
      </c>
      <c r="C701" s="21" t="s">
        <v>1328</v>
      </c>
      <c r="D701" s="255" t="s">
        <v>112</v>
      </c>
      <c r="E701" s="21" t="s">
        <v>1329</v>
      </c>
      <c r="F701" s="162" t="str">
        <f>IF(wskakunin_kanri8_KENTIKUSI_NO="","",wskakunin_kanri8_KENTIKUSI_NO)</f>
        <v/>
      </c>
      <c r="H701" s="22"/>
    </row>
    <row r="702" spans="1:8" ht="12">
      <c r="A702" s="63"/>
      <c r="B702" s="74" t="s">
        <v>194</v>
      </c>
      <c r="C702" s="21" t="s">
        <v>1330</v>
      </c>
      <c r="D702" s="162" t="s">
        <v>112</v>
      </c>
      <c r="E702" s="21" t="s">
        <v>1331</v>
      </c>
      <c r="F702" s="162" t="str">
        <f>IF(wskakunin_kanri8_NAME="", "", wskakunin_kanri8_NAME)</f>
        <v/>
      </c>
      <c r="H702" s="22"/>
    </row>
    <row r="703" spans="1:8" ht="12">
      <c r="A703" s="63"/>
      <c r="B703" s="74" t="s">
        <v>416</v>
      </c>
      <c r="C703" s="21" t="s">
        <v>1332</v>
      </c>
      <c r="D703" s="162" t="s">
        <v>112</v>
      </c>
      <c r="E703" s="21" t="s">
        <v>1333</v>
      </c>
      <c r="F703" s="162" t="str">
        <f>IF(wskakunin_kanri8_JIMU__sikaku="", "", wskakunin_kanri8_JIMU__sikaku)</f>
        <v/>
      </c>
      <c r="H703" s="22"/>
    </row>
    <row r="704" spans="1:8" ht="12">
      <c r="A704" s="47"/>
      <c r="B704" s="80" t="s">
        <v>420</v>
      </c>
      <c r="C704" s="21" t="s">
        <v>1334</v>
      </c>
      <c r="D704" s="162" t="s">
        <v>112</v>
      </c>
      <c r="E704" s="21" t="s">
        <v>1335</v>
      </c>
      <c r="F704" s="162" t="str">
        <f>IF(wskakunin_kanri8_JIMU_SIKAKU__label="","",wskakunin_kanri8_JIMU_SIKAKU__label)</f>
        <v/>
      </c>
      <c r="H704" s="22"/>
    </row>
    <row r="705" spans="1:8" ht="12">
      <c r="A705" s="47"/>
      <c r="B705" s="80" t="s">
        <v>423</v>
      </c>
      <c r="C705" s="21" t="s">
        <v>1336</v>
      </c>
      <c r="D705" s="162" t="s">
        <v>112</v>
      </c>
      <c r="E705" s="21" t="s">
        <v>1337</v>
      </c>
      <c r="F705" s="162" t="str">
        <f>IF(wskakunin_kanri8_JIMU_TOUROKU_KIKAN__label="","",wskakunin_kanri8_JIMU_TOUROKU_KIKAN__label)</f>
        <v/>
      </c>
      <c r="H705" s="22"/>
    </row>
    <row r="706" spans="1:8" ht="12">
      <c r="A706" s="47"/>
      <c r="B706" s="80" t="s">
        <v>427</v>
      </c>
      <c r="C706" s="21" t="s">
        <v>1338</v>
      </c>
      <c r="D706" s="255" t="s">
        <v>112</v>
      </c>
      <c r="E706" s="21" t="s">
        <v>1339</v>
      </c>
      <c r="F706" s="162" t="str">
        <f>IF(wskakunin_kanri8_JIMU_NO="","",wskakunin_kanri8_JIMU_NO)</f>
        <v/>
      </c>
      <c r="H706" s="22"/>
    </row>
    <row r="707" spans="1:8" ht="12">
      <c r="A707" s="63"/>
      <c r="B707" s="74" t="s">
        <v>431</v>
      </c>
      <c r="C707" s="21" t="s">
        <v>1340</v>
      </c>
      <c r="D707" s="162" t="s">
        <v>112</v>
      </c>
      <c r="E707" s="21" t="s">
        <v>1341</v>
      </c>
      <c r="F707" s="162" t="str">
        <f>IF(wskakunin_kanri8_JIMU_NAME="", "", wskakunin_kanri8_JIMU_NAME)</f>
        <v/>
      </c>
      <c r="H707" s="22"/>
    </row>
    <row r="708" spans="1:8" ht="12">
      <c r="A708" s="63"/>
      <c r="B708" s="74" t="s">
        <v>205</v>
      </c>
      <c r="C708" s="21" t="s">
        <v>1342</v>
      </c>
      <c r="D708" s="255" t="s">
        <v>112</v>
      </c>
      <c r="E708" s="21" t="s">
        <v>1343</v>
      </c>
      <c r="F708" s="162" t="str">
        <f>IF(wskakunin_kanri8_ZIP="", "", wskakunin_kanri8_ZIP)</f>
        <v/>
      </c>
      <c r="H708" s="22"/>
    </row>
    <row r="709" spans="1:8" ht="12">
      <c r="A709" s="63"/>
      <c r="B709" s="74" t="s">
        <v>438</v>
      </c>
      <c r="C709" s="21" t="s">
        <v>1344</v>
      </c>
      <c r="D709" s="162" t="s">
        <v>112</v>
      </c>
      <c r="E709" s="21" t="s">
        <v>1345</v>
      </c>
      <c r="F709" s="162" t="str">
        <f>IF(wskakunin_kanri8__address="", "", wskakunin_kanri8__address)</f>
        <v/>
      </c>
      <c r="H709" s="22"/>
    </row>
    <row r="710" spans="1:8" ht="12">
      <c r="A710" s="63"/>
      <c r="B710" s="74" t="s">
        <v>214</v>
      </c>
      <c r="C710" s="21" t="s">
        <v>1346</v>
      </c>
      <c r="D710" s="255" t="s">
        <v>112</v>
      </c>
      <c r="E710" s="21" t="s">
        <v>1347</v>
      </c>
      <c r="F710" s="162" t="str">
        <f>IF(wskakunin_kanri8_TEL="", "", wskakunin_kanri8_TEL)</f>
        <v/>
      </c>
      <c r="H710" s="22"/>
    </row>
    <row r="711" spans="1:8" ht="12">
      <c r="A711" s="63"/>
      <c r="B711" s="74" t="s">
        <v>610</v>
      </c>
      <c r="C711" s="21" t="s">
        <v>1348</v>
      </c>
      <c r="D711" s="255" t="s">
        <v>112</v>
      </c>
      <c r="E711" s="21" t="s">
        <v>1349</v>
      </c>
      <c r="F711" s="162" t="str">
        <f>IF(wskakunin_kanri8_DOC="","",wskakunin_kanri8_DOC)</f>
        <v/>
      </c>
      <c r="H711" s="22"/>
    </row>
    <row r="712" spans="1:8" ht="12">
      <c r="A712" s="47"/>
      <c r="B712" s="77"/>
      <c r="H712" s="22"/>
    </row>
    <row r="713" spans="1:8" ht="12">
      <c r="A713" s="148" t="s">
        <v>1350</v>
      </c>
      <c r="B713" s="47" t="s">
        <v>1147</v>
      </c>
      <c r="H713" s="22"/>
    </row>
    <row r="714" spans="1:8" ht="12">
      <c r="A714" s="30"/>
      <c r="B714" s="74" t="s">
        <v>392</v>
      </c>
      <c r="C714" s="21" t="s">
        <v>1351</v>
      </c>
      <c r="D714" s="162" t="s">
        <v>112</v>
      </c>
      <c r="E714" s="21" t="s">
        <v>1352</v>
      </c>
      <c r="F714" s="162" t="str">
        <f>IF(wskakunin_kanri9__sikaku="", "", wskakunin_kanri9__sikaku)</f>
        <v/>
      </c>
      <c r="H714" s="22"/>
    </row>
    <row r="715" spans="1:8" ht="12">
      <c r="A715" s="30"/>
      <c r="B715" s="74" t="s">
        <v>396</v>
      </c>
      <c r="C715" s="21" t="s">
        <v>1353</v>
      </c>
      <c r="D715" s="162" t="s">
        <v>112</v>
      </c>
      <c r="E715" s="21" t="s">
        <v>1354</v>
      </c>
      <c r="F715" s="162" t="str">
        <f>IF(wskakunin_kanri9_SIKAKU__label="", "", wskakunin_kanri9_SIKAKU__label)</f>
        <v/>
      </c>
      <c r="H715" s="22"/>
    </row>
    <row r="716" spans="1:8" ht="12">
      <c r="A716" s="35"/>
      <c r="B716" s="80" t="s">
        <v>400</v>
      </c>
      <c r="C716" s="21" t="s">
        <v>1355</v>
      </c>
      <c r="D716" s="162" t="s">
        <v>112</v>
      </c>
      <c r="E716" s="21" t="s">
        <v>1356</v>
      </c>
      <c r="F716" s="162" t="str">
        <f>IF(wskakunin_kanri9_TOUROKU_KIKAN__label="","",wskakunin_kanri9_TOUROKU_KIKAN__label)</f>
        <v/>
      </c>
      <c r="H716" s="22"/>
    </row>
    <row r="717" spans="1:8" ht="12">
      <c r="A717" s="35"/>
      <c r="B717" s="80" t="s">
        <v>404</v>
      </c>
      <c r="C717" s="21" t="s">
        <v>1357</v>
      </c>
      <c r="D717" s="255" t="s">
        <v>112</v>
      </c>
      <c r="E717" s="21" t="s">
        <v>1358</v>
      </c>
      <c r="F717" s="162" t="str">
        <f>IF(wskakunin_kanri9_KENTIKUSI_NO="","",wskakunin_kanri9_KENTIKUSI_NO)</f>
        <v/>
      </c>
      <c r="H717" s="22"/>
    </row>
    <row r="718" spans="1:8" ht="12">
      <c r="A718" s="63"/>
      <c r="B718" s="74" t="s">
        <v>194</v>
      </c>
      <c r="C718" s="21" t="s">
        <v>1359</v>
      </c>
      <c r="D718" s="162" t="s">
        <v>112</v>
      </c>
      <c r="E718" s="21" t="s">
        <v>1360</v>
      </c>
      <c r="F718" s="162" t="str">
        <f>IF(wskakunin_kanri9_NAME="", "", wskakunin_kanri9_NAME)</f>
        <v/>
      </c>
      <c r="H718" s="22"/>
    </row>
    <row r="719" spans="1:8" ht="12">
      <c r="A719" s="63"/>
      <c r="B719" s="74" t="s">
        <v>416</v>
      </c>
      <c r="C719" s="21" t="s">
        <v>1361</v>
      </c>
      <c r="D719" s="162" t="s">
        <v>112</v>
      </c>
      <c r="E719" s="21" t="s">
        <v>1362</v>
      </c>
      <c r="F719" s="162" t="str">
        <f>IF(wskakunin_kanri9_JIMU__sikaku="", "", wskakunin_kanri9_JIMU__sikaku)</f>
        <v/>
      </c>
      <c r="H719" s="22"/>
    </row>
    <row r="720" spans="1:8" ht="12">
      <c r="A720" s="47"/>
      <c r="B720" s="80" t="s">
        <v>420</v>
      </c>
      <c r="C720" s="21" t="s">
        <v>1363</v>
      </c>
      <c r="D720" s="162" t="s">
        <v>112</v>
      </c>
      <c r="E720" s="21" t="s">
        <v>1364</v>
      </c>
      <c r="F720" s="162" t="str">
        <f>IF(wskakunin_kanri9_JIMU_SIKAKU__label="","",wskakunin_kanri9_JIMU_SIKAKU__label)</f>
        <v/>
      </c>
      <c r="H720" s="22"/>
    </row>
    <row r="721" spans="1:8" ht="12">
      <c r="A721" s="47"/>
      <c r="B721" s="80" t="s">
        <v>423</v>
      </c>
      <c r="C721" s="21" t="s">
        <v>1365</v>
      </c>
      <c r="D721" s="162" t="s">
        <v>112</v>
      </c>
      <c r="E721" s="21" t="s">
        <v>1366</v>
      </c>
      <c r="F721" s="162" t="str">
        <f>IF(wskakunin_kanri9_JIMU_TOUROKU_KIKAN__label="","",wskakunin_kanri9_JIMU_TOUROKU_KIKAN__label)</f>
        <v/>
      </c>
      <c r="H721" s="22"/>
    </row>
    <row r="722" spans="1:8" ht="12">
      <c r="A722" s="47"/>
      <c r="B722" s="80" t="s">
        <v>427</v>
      </c>
      <c r="C722" s="21" t="s">
        <v>1367</v>
      </c>
      <c r="D722" s="255" t="s">
        <v>112</v>
      </c>
      <c r="E722" s="21" t="s">
        <v>1368</v>
      </c>
      <c r="F722" s="162" t="str">
        <f>IF(wskakunin_kanri9_JIMU_NO="","",wskakunin_kanri9_JIMU_NO)</f>
        <v/>
      </c>
      <c r="H722" s="22"/>
    </row>
    <row r="723" spans="1:8" ht="12">
      <c r="A723" s="63"/>
      <c r="B723" s="74" t="s">
        <v>431</v>
      </c>
      <c r="C723" s="21" t="s">
        <v>1369</v>
      </c>
      <c r="D723" s="162" t="s">
        <v>112</v>
      </c>
      <c r="E723" s="21" t="s">
        <v>1370</v>
      </c>
      <c r="F723" s="162" t="str">
        <f>IF(wskakunin_kanri9_JIMU_NAME="", "", wskakunin_kanri9_JIMU_NAME)</f>
        <v/>
      </c>
      <c r="H723" s="22"/>
    </row>
    <row r="724" spans="1:8" ht="12">
      <c r="A724" s="63"/>
      <c r="B724" s="74" t="s">
        <v>205</v>
      </c>
      <c r="C724" s="21" t="s">
        <v>1371</v>
      </c>
      <c r="D724" s="255" t="s">
        <v>112</v>
      </c>
      <c r="E724" s="21" t="s">
        <v>1372</v>
      </c>
      <c r="F724" s="162" t="str">
        <f>IF(wskakunin_kanri9_ZIP="", "", wskakunin_kanri9_ZIP)</f>
        <v/>
      </c>
      <c r="H724" s="22"/>
    </row>
    <row r="725" spans="1:8" ht="12">
      <c r="A725" s="63"/>
      <c r="B725" s="74" t="s">
        <v>438</v>
      </c>
      <c r="C725" s="21" t="s">
        <v>1373</v>
      </c>
      <c r="D725" s="162" t="s">
        <v>112</v>
      </c>
      <c r="E725" s="21" t="s">
        <v>1374</v>
      </c>
      <c r="F725" s="162" t="str">
        <f>IF(wskakunin_kanri9__address="", "", wskakunin_kanri9__address)</f>
        <v/>
      </c>
      <c r="H725" s="22"/>
    </row>
    <row r="726" spans="1:8" ht="12">
      <c r="A726" s="63"/>
      <c r="B726" s="74" t="s">
        <v>214</v>
      </c>
      <c r="C726" s="21" t="s">
        <v>1375</v>
      </c>
      <c r="D726" s="255" t="s">
        <v>112</v>
      </c>
      <c r="E726" s="21" t="s">
        <v>1376</v>
      </c>
      <c r="F726" s="162" t="str">
        <f>IF(wskakunin_kanri9_TEL="", "", wskakunin_kanri9_TEL)</f>
        <v/>
      </c>
      <c r="H726" s="22"/>
    </row>
    <row r="727" spans="1:8" ht="12">
      <c r="A727" s="63"/>
      <c r="B727" s="74" t="s">
        <v>610</v>
      </c>
      <c r="C727" s="21" t="s">
        <v>1377</v>
      </c>
      <c r="D727" s="255" t="s">
        <v>112</v>
      </c>
      <c r="E727" s="21" t="s">
        <v>1378</v>
      </c>
      <c r="F727" s="162" t="str">
        <f>IF(wskakunin_kanri9_DOC="","",wskakunin_kanri9_DOC)</f>
        <v/>
      </c>
      <c r="H727" s="22"/>
    </row>
    <row r="728" spans="1:8" ht="12">
      <c r="A728" s="47"/>
      <c r="B728" s="77"/>
      <c r="H728" s="22"/>
    </row>
    <row r="729" spans="1:8" ht="12">
      <c r="A729" s="148" t="s">
        <v>1379</v>
      </c>
      <c r="B729" s="47" t="s">
        <v>1147</v>
      </c>
      <c r="H729" s="22"/>
    </row>
    <row r="730" spans="1:8" ht="12">
      <c r="A730" s="30"/>
      <c r="B730" s="74" t="s">
        <v>392</v>
      </c>
      <c r="C730" s="21" t="s">
        <v>1380</v>
      </c>
      <c r="D730" s="162" t="s">
        <v>112</v>
      </c>
      <c r="E730" s="21" t="s">
        <v>1381</v>
      </c>
      <c r="F730" s="162" t="str">
        <f>IF(wskakunin_kanri10__sikaku="", "", wskakunin_kanri10__sikaku)</f>
        <v/>
      </c>
      <c r="H730" s="22"/>
    </row>
    <row r="731" spans="1:8" ht="12">
      <c r="A731" s="30"/>
      <c r="B731" s="74" t="s">
        <v>396</v>
      </c>
      <c r="C731" s="21" t="s">
        <v>1382</v>
      </c>
      <c r="D731" s="162" t="s">
        <v>112</v>
      </c>
      <c r="E731" s="21" t="s">
        <v>1383</v>
      </c>
      <c r="F731" s="162" t="str">
        <f>IF(wskakunin_kanri10_SIKAKU__label="", "", wskakunin_kanri10_SIKAKU__label)</f>
        <v/>
      </c>
      <c r="H731" s="22"/>
    </row>
    <row r="732" spans="1:8" ht="12">
      <c r="A732" s="35"/>
      <c r="B732" s="80" t="s">
        <v>400</v>
      </c>
      <c r="C732" s="21" t="s">
        <v>1384</v>
      </c>
      <c r="D732" s="162" t="s">
        <v>112</v>
      </c>
      <c r="E732" s="21" t="s">
        <v>1385</v>
      </c>
      <c r="F732" s="162" t="str">
        <f>IF(wskakunin_kanri10_TOUROKU_KIKAN__label="","",wskakunin_kanri10_TOUROKU_KIKAN__label)</f>
        <v/>
      </c>
      <c r="H732" s="22"/>
    </row>
    <row r="733" spans="1:8" ht="12">
      <c r="A733" s="35"/>
      <c r="B733" s="80" t="s">
        <v>404</v>
      </c>
      <c r="C733" s="21" t="s">
        <v>1386</v>
      </c>
      <c r="D733" s="255" t="s">
        <v>112</v>
      </c>
      <c r="E733" s="21" t="s">
        <v>1387</v>
      </c>
      <c r="F733" s="162" t="str">
        <f>IF(wskakunin_kanri10_KENTIKUSI_NO="","",wskakunin_kanri10_KENTIKUSI_NO)</f>
        <v/>
      </c>
      <c r="H733" s="22"/>
    </row>
    <row r="734" spans="1:8" ht="12">
      <c r="A734" s="63"/>
      <c r="B734" s="74" t="s">
        <v>194</v>
      </c>
      <c r="C734" s="21" t="s">
        <v>1388</v>
      </c>
      <c r="D734" s="162" t="s">
        <v>112</v>
      </c>
      <c r="E734" s="21" t="s">
        <v>1389</v>
      </c>
      <c r="F734" s="162" t="str">
        <f>IF(wskakunin_kanri10_NAME="", "", wskakunin_kanri10_NAME)</f>
        <v/>
      </c>
      <c r="H734" s="22"/>
    </row>
    <row r="735" spans="1:8" ht="12">
      <c r="A735" s="63"/>
      <c r="B735" s="74" t="s">
        <v>416</v>
      </c>
      <c r="C735" s="21" t="s">
        <v>1390</v>
      </c>
      <c r="D735" s="162" t="s">
        <v>112</v>
      </c>
      <c r="E735" s="21" t="s">
        <v>1391</v>
      </c>
      <c r="F735" s="162" t="str">
        <f>IF(wskakunin_kanri10_JIMU__sikaku="", "", wskakunin_kanri10_JIMU__sikaku)</f>
        <v/>
      </c>
      <c r="H735" s="22"/>
    </row>
    <row r="736" spans="1:8" ht="12">
      <c r="A736" s="47"/>
      <c r="B736" s="80" t="s">
        <v>420</v>
      </c>
      <c r="C736" s="21" t="s">
        <v>1392</v>
      </c>
      <c r="D736" s="162" t="s">
        <v>112</v>
      </c>
      <c r="E736" s="21" t="s">
        <v>1393</v>
      </c>
      <c r="F736" s="162" t="str">
        <f>IF(wskakunin_kanri10_JIMU_SIKAKU__label="","",wskakunin_kanri10_JIMU_SIKAKU__label)</f>
        <v/>
      </c>
      <c r="H736" s="22"/>
    </row>
    <row r="737" spans="1:8" ht="12">
      <c r="A737" s="47"/>
      <c r="B737" s="80" t="s">
        <v>423</v>
      </c>
      <c r="C737" s="21" t="s">
        <v>1394</v>
      </c>
      <c r="D737" s="162" t="s">
        <v>112</v>
      </c>
      <c r="E737" s="21" t="s">
        <v>1395</v>
      </c>
      <c r="F737" s="162" t="str">
        <f>IF(wskakunin_kanri10_JIMU_TOUROKU_KIKAN__label="","",wskakunin_kanri10_JIMU_TOUROKU_KIKAN__label)</f>
        <v/>
      </c>
      <c r="H737" s="22"/>
    </row>
    <row r="738" spans="1:8" ht="12">
      <c r="A738" s="47"/>
      <c r="B738" s="80" t="s">
        <v>427</v>
      </c>
      <c r="C738" s="21" t="s">
        <v>1396</v>
      </c>
      <c r="D738" s="255" t="s">
        <v>112</v>
      </c>
      <c r="E738" s="21" t="s">
        <v>1397</v>
      </c>
      <c r="F738" s="162" t="str">
        <f>IF(wskakunin_kanri10_JIMU_NO="","",wskakunin_kanri10_JIMU_NO)</f>
        <v/>
      </c>
      <c r="H738" s="22"/>
    </row>
    <row r="739" spans="1:8" ht="12">
      <c r="A739" s="63"/>
      <c r="B739" s="74" t="s">
        <v>431</v>
      </c>
      <c r="C739" s="21" t="s">
        <v>1398</v>
      </c>
      <c r="D739" s="162" t="s">
        <v>112</v>
      </c>
      <c r="E739" s="21" t="s">
        <v>1399</v>
      </c>
      <c r="F739" s="162" t="str">
        <f>IF(wskakunin_kanri10_JIMU_NAME="", "", wskakunin_kanri10_JIMU_NAME)</f>
        <v/>
      </c>
      <c r="H739" s="22"/>
    </row>
    <row r="740" spans="1:8" ht="12">
      <c r="A740" s="63"/>
      <c r="B740" s="74" t="s">
        <v>205</v>
      </c>
      <c r="C740" s="21" t="s">
        <v>1400</v>
      </c>
      <c r="D740" s="255" t="s">
        <v>112</v>
      </c>
      <c r="E740" s="21" t="s">
        <v>1401</v>
      </c>
      <c r="F740" s="162" t="str">
        <f>IF(wskakunin_kanri10_ZIP="", "", wskakunin_kanri10_ZIP)</f>
        <v/>
      </c>
      <c r="H740" s="22"/>
    </row>
    <row r="741" spans="1:8" ht="12">
      <c r="A741" s="63"/>
      <c r="B741" s="74" t="s">
        <v>438</v>
      </c>
      <c r="C741" s="21" t="s">
        <v>1402</v>
      </c>
      <c r="D741" s="162" t="s">
        <v>112</v>
      </c>
      <c r="E741" s="21" t="s">
        <v>1403</v>
      </c>
      <c r="F741" s="162" t="str">
        <f>IF(wskakunin_kanri10__address="", "", wskakunin_kanri10__address)</f>
        <v/>
      </c>
      <c r="H741" s="22"/>
    </row>
    <row r="742" spans="1:8" ht="12">
      <c r="A742" s="63"/>
      <c r="B742" s="74" t="s">
        <v>214</v>
      </c>
      <c r="C742" s="21" t="s">
        <v>1404</v>
      </c>
      <c r="D742" s="255" t="s">
        <v>112</v>
      </c>
      <c r="E742" s="21" t="s">
        <v>1405</v>
      </c>
      <c r="F742" s="162" t="str">
        <f>IF(wskakunin_kanri10_TEL="", "", wskakunin_kanri10_TEL)</f>
        <v/>
      </c>
      <c r="H742" s="22"/>
    </row>
    <row r="743" spans="1:8" ht="12">
      <c r="A743" s="63"/>
      <c r="B743" s="74" t="s">
        <v>610</v>
      </c>
      <c r="C743" s="21" t="s">
        <v>1406</v>
      </c>
      <c r="D743" s="255" t="s">
        <v>112</v>
      </c>
      <c r="E743" s="21" t="s">
        <v>1407</v>
      </c>
      <c r="F743" s="162" t="str">
        <f>IF(wskakunin_kanri10_DOC="","",wskakunin_kanri10_DOC)</f>
        <v/>
      </c>
      <c r="H743" s="22"/>
    </row>
    <row r="744" spans="1:8" ht="12">
      <c r="A744" s="47"/>
      <c r="B744" s="77"/>
      <c r="H744" s="22"/>
    </row>
    <row r="745" spans="1:8" ht="12">
      <c r="A745" s="148" t="s">
        <v>1408</v>
      </c>
      <c r="B745" s="47" t="s">
        <v>1147</v>
      </c>
      <c r="H745" s="22"/>
    </row>
    <row r="746" spans="1:8" ht="12">
      <c r="A746" s="30"/>
      <c r="B746" s="74" t="s">
        <v>392</v>
      </c>
      <c r="C746" s="21" t="s">
        <v>1409</v>
      </c>
      <c r="D746" s="162" t="s">
        <v>112</v>
      </c>
      <c r="E746" s="21" t="s">
        <v>1410</v>
      </c>
      <c r="F746" s="162" t="str">
        <f>IF(wskakunin_kanri11__sikaku="", "", wskakunin_kanri11__sikaku)</f>
        <v/>
      </c>
      <c r="H746" s="22"/>
    </row>
    <row r="747" spans="1:8" ht="12">
      <c r="A747" s="30"/>
      <c r="B747" s="74" t="s">
        <v>396</v>
      </c>
      <c r="C747" s="21" t="s">
        <v>1411</v>
      </c>
      <c r="D747" s="162" t="s">
        <v>112</v>
      </c>
      <c r="E747" s="21" t="s">
        <v>1412</v>
      </c>
      <c r="F747" s="162" t="str">
        <f>IF(wskakunin_kanri11_SIKAKU__label="", "", wskakunin_kanri11_SIKAKU__label)</f>
        <v/>
      </c>
      <c r="H747" s="22"/>
    </row>
    <row r="748" spans="1:8" ht="12">
      <c r="A748" s="35"/>
      <c r="B748" s="80" t="s">
        <v>400</v>
      </c>
      <c r="C748" s="21" t="s">
        <v>1413</v>
      </c>
      <c r="D748" s="162" t="s">
        <v>112</v>
      </c>
      <c r="E748" s="21" t="s">
        <v>1414</v>
      </c>
      <c r="F748" s="162" t="str">
        <f>IF(wskakunin_kanri11_TOUROKU_KIKAN__label="","",wskakunin_kanri11_TOUROKU_KIKAN__label)</f>
        <v/>
      </c>
      <c r="H748" s="22"/>
    </row>
    <row r="749" spans="1:8" ht="12">
      <c r="A749" s="35"/>
      <c r="B749" s="80" t="s">
        <v>404</v>
      </c>
      <c r="C749" s="21" t="s">
        <v>1415</v>
      </c>
      <c r="D749" s="255" t="s">
        <v>112</v>
      </c>
      <c r="E749" s="21" t="s">
        <v>1416</v>
      </c>
      <c r="F749" s="162" t="str">
        <f>IF(wskakunin_kanri11_KENTIKUSI_NO="","",wskakunin_kanri11_KENTIKUSI_NO)</f>
        <v/>
      </c>
      <c r="H749" s="22"/>
    </row>
    <row r="750" spans="1:8" ht="12">
      <c r="A750" s="63"/>
      <c r="B750" s="74" t="s">
        <v>194</v>
      </c>
      <c r="C750" s="21" t="s">
        <v>1417</v>
      </c>
      <c r="D750" s="162" t="s">
        <v>112</v>
      </c>
      <c r="E750" s="21" t="s">
        <v>1418</v>
      </c>
      <c r="F750" s="162" t="str">
        <f>IF(wskakunin_kanri11_NAME="", "", wskakunin_kanri11_NAME)</f>
        <v/>
      </c>
      <c r="H750" s="22"/>
    </row>
    <row r="751" spans="1:8" ht="12">
      <c r="A751" s="63"/>
      <c r="B751" s="74" t="s">
        <v>416</v>
      </c>
      <c r="C751" s="21" t="s">
        <v>1419</v>
      </c>
      <c r="D751" s="162" t="s">
        <v>112</v>
      </c>
      <c r="E751" s="21" t="s">
        <v>1420</v>
      </c>
      <c r="F751" s="162" t="str">
        <f>IF(wskakunin_kanri11_JIMU__sikaku="", "", wskakunin_kanri11_JIMU__sikaku)</f>
        <v/>
      </c>
      <c r="H751" s="22"/>
    </row>
    <row r="752" spans="1:8" ht="12">
      <c r="A752" s="47"/>
      <c r="B752" s="80" t="s">
        <v>420</v>
      </c>
      <c r="C752" s="21" t="s">
        <v>1421</v>
      </c>
      <c r="D752" s="162" t="s">
        <v>112</v>
      </c>
      <c r="E752" s="21" t="s">
        <v>1422</v>
      </c>
      <c r="F752" s="162" t="str">
        <f>IF(wskakunin_kanri11_JIMU_SIKAKU__label="","",wskakunin_kanri11_JIMU_SIKAKU__label)</f>
        <v/>
      </c>
      <c r="H752" s="22"/>
    </row>
    <row r="753" spans="1:8" ht="12">
      <c r="A753" s="47"/>
      <c r="B753" s="80" t="s">
        <v>423</v>
      </c>
      <c r="C753" s="21" t="s">
        <v>1423</v>
      </c>
      <c r="D753" s="162" t="s">
        <v>112</v>
      </c>
      <c r="E753" s="21" t="s">
        <v>1424</v>
      </c>
      <c r="F753" s="162" t="str">
        <f>IF(wskakunin_kanri11_JIMU_TOUROKU_KIKAN__label="","",wskakunin_kanri11_JIMU_TOUROKU_KIKAN__label)</f>
        <v/>
      </c>
      <c r="H753" s="22"/>
    </row>
    <row r="754" spans="1:8" ht="12">
      <c r="A754" s="47"/>
      <c r="B754" s="80" t="s">
        <v>427</v>
      </c>
      <c r="C754" s="21" t="s">
        <v>1425</v>
      </c>
      <c r="D754" s="255" t="s">
        <v>112</v>
      </c>
      <c r="E754" s="21" t="s">
        <v>1426</v>
      </c>
      <c r="F754" s="162" t="str">
        <f>IF(wskakunin_kanri11_JIMU_NO="","",wskakunin_kanri11_JIMU_NO)</f>
        <v/>
      </c>
      <c r="H754" s="22"/>
    </row>
    <row r="755" spans="1:8" ht="12">
      <c r="A755" s="63"/>
      <c r="B755" s="74" t="s">
        <v>431</v>
      </c>
      <c r="C755" s="21" t="s">
        <v>1427</v>
      </c>
      <c r="D755" s="162" t="s">
        <v>112</v>
      </c>
      <c r="E755" s="21" t="s">
        <v>1428</v>
      </c>
      <c r="F755" s="162" t="str">
        <f>IF(wskakunin_kanri11_JIMU_NAME="", "", wskakunin_kanri11_JIMU_NAME)</f>
        <v/>
      </c>
      <c r="H755" s="22"/>
    </row>
    <row r="756" spans="1:8" ht="12">
      <c r="A756" s="63"/>
      <c r="B756" s="74" t="s">
        <v>205</v>
      </c>
      <c r="C756" s="21" t="s">
        <v>1429</v>
      </c>
      <c r="D756" s="255" t="s">
        <v>112</v>
      </c>
      <c r="E756" s="21" t="s">
        <v>1430</v>
      </c>
      <c r="F756" s="162" t="str">
        <f>IF(wskakunin_kanri11_ZIP="", "", wskakunin_kanri11_ZIP)</f>
        <v/>
      </c>
      <c r="H756" s="22"/>
    </row>
    <row r="757" spans="1:8" ht="12">
      <c r="A757" s="63"/>
      <c r="B757" s="74" t="s">
        <v>438</v>
      </c>
      <c r="C757" s="21" t="s">
        <v>1431</v>
      </c>
      <c r="D757" s="162" t="s">
        <v>112</v>
      </c>
      <c r="E757" s="21" t="s">
        <v>1432</v>
      </c>
      <c r="F757" s="162" t="str">
        <f>IF(wskakunin_kanri11__address="", "", wskakunin_kanri11__address)</f>
        <v/>
      </c>
      <c r="H757" s="22"/>
    </row>
    <row r="758" spans="1:8" ht="12">
      <c r="A758" s="63"/>
      <c r="B758" s="74" t="s">
        <v>214</v>
      </c>
      <c r="C758" s="21" t="s">
        <v>1433</v>
      </c>
      <c r="D758" s="255" t="s">
        <v>112</v>
      </c>
      <c r="E758" s="21" t="s">
        <v>1434</v>
      </c>
      <c r="F758" s="162" t="str">
        <f>IF(wskakunin_kanri11_TEL="", "", wskakunin_kanri11_TEL)</f>
        <v/>
      </c>
      <c r="H758" s="22"/>
    </row>
    <row r="759" spans="1:8" ht="12">
      <c r="A759" s="63"/>
      <c r="B759" s="74" t="s">
        <v>610</v>
      </c>
      <c r="C759" s="21" t="s">
        <v>1435</v>
      </c>
      <c r="D759" s="255" t="s">
        <v>112</v>
      </c>
      <c r="E759" s="21" t="s">
        <v>1436</v>
      </c>
      <c r="F759" s="162" t="str">
        <f>IF(wskakunin_kanri11_DOC="","",wskakunin_kanri11_DOC)</f>
        <v/>
      </c>
      <c r="H759" s="22"/>
    </row>
    <row r="760" spans="1:8" ht="12">
      <c r="A760" s="47"/>
      <c r="B760" s="77"/>
      <c r="G760" s="22"/>
      <c r="H760" s="22"/>
    </row>
    <row r="761" spans="1:8" ht="12">
      <c r="A761" s="148" t="s">
        <v>1437</v>
      </c>
      <c r="B761" s="47" t="s">
        <v>1147</v>
      </c>
      <c r="H761" s="22"/>
    </row>
    <row r="762" spans="1:8" ht="12">
      <c r="A762" s="30"/>
      <c r="B762" s="74" t="s">
        <v>392</v>
      </c>
      <c r="C762" s="21" t="s">
        <v>1438</v>
      </c>
      <c r="D762" s="162" t="s">
        <v>112</v>
      </c>
      <c r="E762" s="21" t="s">
        <v>1439</v>
      </c>
      <c r="F762" s="162" t="str">
        <f>IF(wskakunin_kanri12__sikaku="", "", wskakunin_kanri12__sikaku)</f>
        <v/>
      </c>
      <c r="H762" s="22"/>
    </row>
    <row r="763" spans="1:8" ht="12">
      <c r="A763" s="30"/>
      <c r="B763" s="74" t="s">
        <v>396</v>
      </c>
      <c r="C763" s="21" t="s">
        <v>1440</v>
      </c>
      <c r="D763" s="162" t="s">
        <v>112</v>
      </c>
      <c r="E763" s="21" t="s">
        <v>1441</v>
      </c>
      <c r="F763" s="162" t="str">
        <f>IF(wskakunin_kanri12_SIKAKU__label="", "", wskakunin_kanri12_SIKAKU__label)</f>
        <v/>
      </c>
      <c r="H763" s="22"/>
    </row>
    <row r="764" spans="1:8" ht="12">
      <c r="A764" s="35"/>
      <c r="B764" s="80" t="s">
        <v>400</v>
      </c>
      <c r="C764" s="21" t="s">
        <v>1442</v>
      </c>
      <c r="D764" s="162" t="s">
        <v>112</v>
      </c>
      <c r="E764" s="21" t="s">
        <v>1443</v>
      </c>
      <c r="F764" s="162" t="str">
        <f>IF(wskakunin_kanri12_TOUROKU_KIKAN__label="","",wskakunin_kanri12_TOUROKU_KIKAN__label)</f>
        <v/>
      </c>
      <c r="H764" s="22"/>
    </row>
    <row r="765" spans="1:8" ht="12">
      <c r="A765" s="35"/>
      <c r="B765" s="80" t="s">
        <v>404</v>
      </c>
      <c r="C765" s="21" t="s">
        <v>1444</v>
      </c>
      <c r="D765" s="255" t="s">
        <v>112</v>
      </c>
      <c r="E765" s="21" t="s">
        <v>1445</v>
      </c>
      <c r="F765" s="162" t="str">
        <f>IF(wskakunin_kanri12_KENTIKUSI_NO="","",wskakunin_kanri12_KENTIKUSI_NO)</f>
        <v/>
      </c>
      <c r="H765" s="22"/>
    </row>
    <row r="766" spans="1:8" ht="12">
      <c r="A766" s="63"/>
      <c r="B766" s="74" t="s">
        <v>194</v>
      </c>
      <c r="C766" s="21" t="s">
        <v>1446</v>
      </c>
      <c r="D766" s="162" t="s">
        <v>112</v>
      </c>
      <c r="E766" s="21" t="s">
        <v>1447</v>
      </c>
      <c r="F766" s="162" t="str">
        <f>IF(wskakunin_kanri12_NAME="", "", wskakunin_kanri12_NAME)</f>
        <v/>
      </c>
      <c r="H766" s="22"/>
    </row>
    <row r="767" spans="1:8" ht="12">
      <c r="A767" s="63"/>
      <c r="B767" s="74" t="s">
        <v>416</v>
      </c>
      <c r="C767" s="21" t="s">
        <v>1448</v>
      </c>
      <c r="D767" s="162" t="s">
        <v>112</v>
      </c>
      <c r="E767" s="21" t="s">
        <v>1449</v>
      </c>
      <c r="F767" s="162" t="str">
        <f>IF(wskakunin_kanri12_JIMU__sikaku="", "", wskakunin_kanri12_JIMU__sikaku)</f>
        <v/>
      </c>
      <c r="H767" s="22"/>
    </row>
    <row r="768" spans="1:8" ht="12">
      <c r="A768" s="47"/>
      <c r="B768" s="80" t="s">
        <v>420</v>
      </c>
      <c r="C768" s="21" t="s">
        <v>1450</v>
      </c>
      <c r="D768" s="162" t="s">
        <v>112</v>
      </c>
      <c r="E768" s="21" t="s">
        <v>1451</v>
      </c>
      <c r="F768" s="162" t="str">
        <f>IF(wskakunin_kanri12_JIMU_SIKAKU__label="","",wskakunin_kanri12_JIMU_SIKAKU__label)</f>
        <v/>
      </c>
      <c r="H768" s="22"/>
    </row>
    <row r="769" spans="1:8" ht="12">
      <c r="A769" s="47"/>
      <c r="B769" s="80" t="s">
        <v>423</v>
      </c>
      <c r="C769" s="21" t="s">
        <v>1452</v>
      </c>
      <c r="D769" s="162" t="s">
        <v>112</v>
      </c>
      <c r="E769" s="21" t="s">
        <v>1453</v>
      </c>
      <c r="F769" s="162" t="str">
        <f>IF(wskakunin_kanri12_JIMU_TOUROKU_KIKAN__label="","",wskakunin_kanri12_JIMU_TOUROKU_KIKAN__label)</f>
        <v/>
      </c>
      <c r="H769" s="22"/>
    </row>
    <row r="770" spans="1:8" ht="12">
      <c r="A770" s="47"/>
      <c r="B770" s="80" t="s">
        <v>427</v>
      </c>
      <c r="C770" s="21" t="s">
        <v>1454</v>
      </c>
      <c r="D770" s="255" t="s">
        <v>112</v>
      </c>
      <c r="E770" s="21" t="s">
        <v>1455</v>
      </c>
      <c r="F770" s="162" t="str">
        <f>IF(wskakunin_kanri12_JIMU_NO="","",wskakunin_kanri12_JIMU_NO)</f>
        <v/>
      </c>
      <c r="H770" s="22"/>
    </row>
    <row r="771" spans="1:8" ht="12">
      <c r="A771" s="63"/>
      <c r="B771" s="74" t="s">
        <v>431</v>
      </c>
      <c r="C771" s="21" t="s">
        <v>1456</v>
      </c>
      <c r="D771" s="162" t="s">
        <v>112</v>
      </c>
      <c r="E771" s="21" t="s">
        <v>1457</v>
      </c>
      <c r="F771" s="162" t="str">
        <f>IF(wskakunin_kanri12_JIMU_NAME="", "", wskakunin_kanri12_JIMU_NAME)</f>
        <v/>
      </c>
      <c r="H771" s="22"/>
    </row>
    <row r="772" spans="1:8" ht="12">
      <c r="A772" s="63"/>
      <c r="B772" s="74" t="s">
        <v>205</v>
      </c>
      <c r="C772" s="21" t="s">
        <v>1458</v>
      </c>
      <c r="D772" s="255" t="s">
        <v>112</v>
      </c>
      <c r="E772" s="21" t="s">
        <v>1459</v>
      </c>
      <c r="F772" s="162" t="str">
        <f>IF(wskakunin_kanri12_ZIP="", "", wskakunin_kanri12_ZIP)</f>
        <v/>
      </c>
      <c r="H772" s="22"/>
    </row>
    <row r="773" spans="1:8" ht="12">
      <c r="A773" s="63"/>
      <c r="B773" s="74" t="s">
        <v>438</v>
      </c>
      <c r="C773" s="21" t="s">
        <v>1460</v>
      </c>
      <c r="D773" s="162" t="s">
        <v>112</v>
      </c>
      <c r="E773" s="21" t="s">
        <v>1461</v>
      </c>
      <c r="F773" s="162" t="str">
        <f>IF(wskakunin_kanri12__address="", "", wskakunin_kanri12__address)</f>
        <v/>
      </c>
      <c r="H773" s="22"/>
    </row>
    <row r="774" spans="1:8" ht="12">
      <c r="A774" s="63"/>
      <c r="B774" s="74" t="s">
        <v>214</v>
      </c>
      <c r="C774" s="21" t="s">
        <v>1462</v>
      </c>
      <c r="D774" s="255" t="s">
        <v>112</v>
      </c>
      <c r="E774" s="21" t="s">
        <v>1463</v>
      </c>
      <c r="F774" s="162" t="str">
        <f>IF(wskakunin_kanri12_TEL="", "", wskakunin_kanri12_TEL)</f>
        <v/>
      </c>
      <c r="H774" s="22"/>
    </row>
    <row r="775" spans="1:8" ht="12">
      <c r="A775" s="63"/>
      <c r="B775" s="74" t="s">
        <v>610</v>
      </c>
      <c r="C775" s="21" t="s">
        <v>1464</v>
      </c>
      <c r="D775" s="255" t="s">
        <v>112</v>
      </c>
      <c r="E775" s="21" t="s">
        <v>1465</v>
      </c>
      <c r="F775" s="162" t="str">
        <f>IF(wskakunin_kanri12_DOC="","",wskakunin_kanri12_DOC)</f>
        <v/>
      </c>
      <c r="H775" s="22"/>
    </row>
    <row r="776" spans="1:8" ht="12">
      <c r="A776" s="47"/>
      <c r="B776" s="77"/>
      <c r="G776" s="22"/>
      <c r="H776" s="22"/>
    </row>
    <row r="777" spans="1:8" ht="12">
      <c r="A777" s="55" t="s">
        <v>1466</v>
      </c>
      <c r="B777" s="56"/>
      <c r="D777" s="22"/>
      <c r="G777" s="22"/>
      <c r="H777" s="22"/>
    </row>
    <row r="778" spans="1:8" ht="12">
      <c r="A778" s="64"/>
      <c r="B778" s="79" t="s">
        <v>194</v>
      </c>
      <c r="C778" s="21" t="s">
        <v>1467</v>
      </c>
      <c r="D778" s="261" t="s">
        <v>1468</v>
      </c>
      <c r="E778" s="21" t="s">
        <v>1469</v>
      </c>
      <c r="F778" s="261" t="str">
        <f>IF(wskakunin_sekou1_NAME="", "", wskakunin_sekou1_NAME)</f>
        <v>代表取締役　波夛野　賢</v>
      </c>
      <c r="G778" s="22"/>
      <c r="H778" s="22"/>
    </row>
    <row r="779" spans="1:8" ht="12">
      <c r="A779" s="64"/>
      <c r="B779" s="79" t="s">
        <v>1470</v>
      </c>
      <c r="C779" s="21" t="s">
        <v>1471</v>
      </c>
      <c r="D779" s="261" t="s">
        <v>1472</v>
      </c>
      <c r="E779" s="21" t="s">
        <v>1473</v>
      </c>
      <c r="F779" s="261" t="str">
        <f>IF(wskakunin_sekou1_SEKOU__sikaku="", "", wskakunin_sekou1_SEKOU__sikaku)</f>
        <v>京都府知事第般-3　1675号</v>
      </c>
      <c r="G779" s="22"/>
      <c r="H779" s="22"/>
    </row>
    <row r="780" spans="1:8" ht="12">
      <c r="A780" s="64"/>
      <c r="B780" s="79" t="s">
        <v>1474</v>
      </c>
      <c r="C780" s="21" t="s">
        <v>1475</v>
      </c>
      <c r="D780" s="261" t="s">
        <v>1476</v>
      </c>
      <c r="E780" s="21" t="s">
        <v>1477</v>
      </c>
      <c r="F780" s="261" t="str">
        <f>IF(wskakunin_sekou1_SEKOU_SIKAKU__label="", "",wskakunin_sekou1_SEKOU_SIKAKU__label)</f>
        <v>京都府知事</v>
      </c>
      <c r="G780" s="22"/>
      <c r="H780" s="22"/>
    </row>
    <row r="781" spans="1:8" ht="12">
      <c r="A781" s="64"/>
      <c r="B781" s="79" t="s">
        <v>1478</v>
      </c>
      <c r="C781" s="21" t="s">
        <v>1479</v>
      </c>
      <c r="D781" s="263" t="s">
        <v>1480</v>
      </c>
      <c r="E781" s="21" t="s">
        <v>1481</v>
      </c>
      <c r="F781" s="261" t="str">
        <f>IF(wskakunin_sekou1_SEKOU_NO="","",wskakunin_sekou1_SEKOU_NO)</f>
        <v>般-3　1675</v>
      </c>
      <c r="G781" s="22"/>
      <c r="H781" s="22"/>
    </row>
    <row r="782" spans="1:8" ht="12">
      <c r="A782" s="64"/>
      <c r="B782" s="79" t="s">
        <v>1482</v>
      </c>
      <c r="C782" s="21" t="s">
        <v>1483</v>
      </c>
      <c r="D782" s="261" t="s">
        <v>1484</v>
      </c>
      <c r="E782" s="21" t="s">
        <v>1485</v>
      </c>
      <c r="F782" s="261" t="str">
        <f>IF(wskakunin_sekou1_JIMU_NAME="", "", wskakunin_sekou1_JIMU_NAME)</f>
        <v>四辻木材興行株式会社</v>
      </c>
      <c r="G782" s="22"/>
      <c r="H782" s="22"/>
    </row>
    <row r="783" spans="1:8" ht="12">
      <c r="A783" s="64"/>
      <c r="B783" s="79" t="s">
        <v>205</v>
      </c>
      <c r="C783" s="21" t="s">
        <v>1486</v>
      </c>
      <c r="D783" s="263" t="s">
        <v>1487</v>
      </c>
      <c r="E783" s="21" t="s">
        <v>1488</v>
      </c>
      <c r="F783" s="261" t="str">
        <f>IF(wskakunin_sekou1_ZIP="", "", wskakunin_sekou1_ZIP)</f>
        <v>617-0006</v>
      </c>
      <c r="G783" s="22"/>
      <c r="H783" s="22"/>
    </row>
    <row r="784" spans="1:8" ht="12">
      <c r="A784" s="64"/>
      <c r="B784" s="79" t="s">
        <v>438</v>
      </c>
      <c r="C784" s="21" t="s">
        <v>1489</v>
      </c>
      <c r="D784" s="261" t="s">
        <v>1490</v>
      </c>
      <c r="E784" s="21" t="s">
        <v>1491</v>
      </c>
      <c r="F784" s="261" t="str">
        <f>IF(wskakunin_sekou1__address="", "", wskakunin_sekou1__address)</f>
        <v>京都府向日市上植野町落掘17-1</v>
      </c>
      <c r="G784" s="22"/>
      <c r="H784" s="22"/>
    </row>
    <row r="785" spans="1:8" ht="12">
      <c r="A785" s="64"/>
      <c r="B785" s="79" t="s">
        <v>214</v>
      </c>
      <c r="C785" s="21" t="s">
        <v>1492</v>
      </c>
      <c r="D785" s="263" t="s">
        <v>1493</v>
      </c>
      <c r="E785" s="21" t="s">
        <v>1494</v>
      </c>
      <c r="F785" s="261" t="str">
        <f>IF(wskakunin_sekou1_TEL="", "", wskakunin_sekou1_TEL)</f>
        <v>075-931-1191</v>
      </c>
      <c r="G785" s="22"/>
      <c r="H785" s="22"/>
    </row>
    <row r="786" spans="1:8" ht="12">
      <c r="A786" s="295"/>
      <c r="B786" s="307"/>
      <c r="E786" s="21" t="s">
        <v>1495</v>
      </c>
      <c r="F786" s="261" t="str">
        <f>IF(wskakunin_sekou1_TEL="","（　　　　）　　　-","（"&amp;LEFT(cst_wskakunin_sekou1_TEL,FIND("-",cst_wskakunin_sekou1_TEL)-1)&amp;"）　"&amp;MID(cst_wskakunin_sekou1_TEL,FIND("-",cst_wskakunin_sekou1_TEL)+1,FIND("-",cst_wskakunin_sekou1_TEL,FIND("-",cst_wskakunin_sekou1_TEL)+1)-FIND("-",cst_wskakunin_sekou1_TEL)-1)&amp;"-"&amp;RIGHT(cst_wskakunin_sekou1_TEL,LEN(cst_wskakunin_sekou1_TEL)-FIND("-",cst_wskakunin_sekou1_TEL,FIND("-",cst_wskakunin_sekou1_TEL)+1)))</f>
        <v>（075）　931-1191</v>
      </c>
      <c r="G786" s="22"/>
      <c r="H786" s="22"/>
    </row>
    <row r="787" spans="1:8" ht="12">
      <c r="A787" s="64"/>
      <c r="B787" s="79" t="s">
        <v>1496</v>
      </c>
      <c r="D787" s="37"/>
      <c r="E787" s="21" t="s">
        <v>1497</v>
      </c>
      <c r="F787" s="261">
        <f>IF(AND(cst_wskakunin_sekou1_NAME="",cst_wskakunin_sekou1_SEKOU__sikaku="",cst_wskakunin_sekou1_SEKOU_SIKAKU="",cst_wskakunin_sekou1_SEKOU_NO="",cst_wskakunin_sekou1_JIMU_NAME="",cst_wskakunin_sekou1_ZIP="",cst_wskakunin_sekou1__address="",cst_wskakunin_sekou1_TEL=""),1,2)</f>
        <v>2</v>
      </c>
      <c r="G787" s="22" t="s">
        <v>1498</v>
      </c>
      <c r="H787" s="22"/>
    </row>
    <row r="788" spans="1:8" ht="12">
      <c r="A788" s="55" t="s">
        <v>1499</v>
      </c>
      <c r="B788" s="56"/>
      <c r="D788" s="37"/>
      <c r="F788" s="22"/>
      <c r="G788" s="22"/>
      <c r="H788" s="22"/>
    </row>
    <row r="789" spans="1:8" ht="12">
      <c r="A789" s="64"/>
      <c r="B789" s="79" t="s">
        <v>194</v>
      </c>
      <c r="C789" s="21" t="s">
        <v>1500</v>
      </c>
      <c r="D789" s="261" t="s">
        <v>112</v>
      </c>
      <c r="E789" s="21" t="s">
        <v>1501</v>
      </c>
      <c r="F789" s="261" t="str">
        <f>IF(wskakunin_sekou2_NAME="", "", wskakunin_sekou2_NAME)</f>
        <v/>
      </c>
      <c r="H789" s="22"/>
    </row>
    <row r="790" spans="1:8" ht="12">
      <c r="A790" s="64"/>
      <c r="B790" s="79" t="s">
        <v>1470</v>
      </c>
      <c r="C790" s="21" t="s">
        <v>1502</v>
      </c>
      <c r="D790" s="261" t="s">
        <v>112</v>
      </c>
      <c r="E790" s="21" t="s">
        <v>1503</v>
      </c>
      <c r="F790" s="261" t="str">
        <f>IF(wskakunin_sekou2_SEKOU__sikaku="", "", wskakunin_sekou2_SEKOU__sikaku)</f>
        <v/>
      </c>
      <c r="H790" s="22"/>
    </row>
    <row r="791" spans="1:8" ht="12">
      <c r="A791" s="64"/>
      <c r="B791" s="79" t="s">
        <v>1474</v>
      </c>
      <c r="C791" s="21" t="s">
        <v>1504</v>
      </c>
      <c r="D791" s="261" t="s">
        <v>112</v>
      </c>
      <c r="E791" s="21" t="s">
        <v>1505</v>
      </c>
      <c r="F791" s="261" t="str">
        <f>IF(wskakunin_sekou2_SEKOU_SIKAKU__label="", "",wskakunin_sekou2_SEKOU_SIKAKU__label)</f>
        <v/>
      </c>
      <c r="H791" s="22"/>
    </row>
    <row r="792" spans="1:8" ht="12">
      <c r="A792" s="64"/>
      <c r="B792" s="79" t="s">
        <v>1478</v>
      </c>
      <c r="C792" s="21" t="s">
        <v>1506</v>
      </c>
      <c r="D792" s="263" t="s">
        <v>112</v>
      </c>
      <c r="E792" s="21" t="s">
        <v>1507</v>
      </c>
      <c r="F792" s="261" t="str">
        <f>IF(wskakunin_sekou2_SEKOU_NO="","",wskakunin_sekou2_SEKOU_NO)</f>
        <v/>
      </c>
      <c r="H792" s="22"/>
    </row>
    <row r="793" spans="1:8" ht="12">
      <c r="A793" s="64"/>
      <c r="B793" s="79" t="s">
        <v>1482</v>
      </c>
      <c r="C793" s="21" t="s">
        <v>1508</v>
      </c>
      <c r="D793" s="261" t="s">
        <v>112</v>
      </c>
      <c r="E793" s="21" t="s">
        <v>1509</v>
      </c>
      <c r="F793" s="261" t="str">
        <f>IF(wskakunin_sekou2_JIMU_NAME="", "", wskakunin_sekou2_JIMU_NAME)</f>
        <v/>
      </c>
      <c r="H793" s="22"/>
    </row>
    <row r="794" spans="1:8" ht="12">
      <c r="A794" s="64"/>
      <c r="B794" s="79" t="s">
        <v>205</v>
      </c>
      <c r="C794" s="21" t="s">
        <v>1510</v>
      </c>
      <c r="D794" s="263" t="s">
        <v>112</v>
      </c>
      <c r="E794" s="21" t="s">
        <v>1511</v>
      </c>
      <c r="F794" s="261" t="str">
        <f>IF(wskakunin_sekou2_ZIP="", "", wskakunin_sekou2_ZIP)</f>
        <v/>
      </c>
      <c r="H794" s="22"/>
    </row>
    <row r="795" spans="1:8" ht="12">
      <c r="A795" s="64"/>
      <c r="B795" s="79" t="s">
        <v>438</v>
      </c>
      <c r="C795" s="21" t="s">
        <v>1512</v>
      </c>
      <c r="D795" s="261" t="s">
        <v>112</v>
      </c>
      <c r="E795" s="21" t="s">
        <v>1513</v>
      </c>
      <c r="F795" s="261" t="str">
        <f>IF(wskakunin_sekou2__address="", "", wskakunin_sekou2__address)</f>
        <v/>
      </c>
      <c r="H795" s="22"/>
    </row>
    <row r="796" spans="1:8" ht="12">
      <c r="A796" s="64"/>
      <c r="B796" s="79" t="s">
        <v>214</v>
      </c>
      <c r="C796" s="21" t="s">
        <v>1514</v>
      </c>
      <c r="D796" s="263" t="s">
        <v>112</v>
      </c>
      <c r="E796" s="21" t="s">
        <v>1515</v>
      </c>
      <c r="F796" s="261" t="str">
        <f>IF(wskakunin_sekou2_TEL="", "", wskakunin_sekou2_TEL)</f>
        <v/>
      </c>
      <c r="H796" s="22"/>
    </row>
    <row r="797" spans="1:8" ht="12">
      <c r="A797" s="64"/>
      <c r="B797" s="79"/>
      <c r="D797" s="37"/>
      <c r="F797" s="22"/>
      <c r="H797" s="22"/>
    </row>
    <row r="798" spans="1:8" ht="12">
      <c r="A798" s="55" t="s">
        <v>1516</v>
      </c>
      <c r="B798" s="56"/>
      <c r="D798" s="37"/>
      <c r="F798" s="22"/>
      <c r="H798" s="22"/>
    </row>
    <row r="799" spans="1:8" ht="12">
      <c r="A799" s="64"/>
      <c r="B799" s="79" t="s">
        <v>194</v>
      </c>
      <c r="C799" s="21" t="s">
        <v>1517</v>
      </c>
      <c r="D799" s="261" t="s">
        <v>112</v>
      </c>
      <c r="E799" s="21" t="s">
        <v>1518</v>
      </c>
      <c r="F799" s="261" t="str">
        <f>IF(wskakunin_sekou3_NAME="", "", wskakunin_sekou3_NAME)</f>
        <v/>
      </c>
      <c r="H799" s="22"/>
    </row>
    <row r="800" spans="1:8" ht="12">
      <c r="A800" s="64"/>
      <c r="B800" s="79" t="s">
        <v>1470</v>
      </c>
      <c r="C800" s="21" t="s">
        <v>1519</v>
      </c>
      <c r="D800" s="261" t="s">
        <v>112</v>
      </c>
      <c r="E800" s="21" t="s">
        <v>1520</v>
      </c>
      <c r="F800" s="261" t="str">
        <f>IF(wskakunin_sekou3_SEKOU__sikaku="", "", wskakunin_sekou3_SEKOU__sikaku)</f>
        <v/>
      </c>
      <c r="H800" s="22"/>
    </row>
    <row r="801" spans="1:8" ht="12">
      <c r="A801" s="64"/>
      <c r="B801" s="79" t="s">
        <v>1474</v>
      </c>
      <c r="C801" s="21" t="s">
        <v>1521</v>
      </c>
      <c r="D801" s="261" t="s">
        <v>112</v>
      </c>
      <c r="E801" s="21" t="s">
        <v>1522</v>
      </c>
      <c r="F801" s="261" t="str">
        <f>IF(wskakunin_sekou3_SEKOU_SIKAKU__label="", "",wskakunin_sekou3_SEKOU_SIKAKU__label)</f>
        <v/>
      </c>
      <c r="H801" s="22"/>
    </row>
    <row r="802" spans="1:8" ht="12">
      <c r="A802" s="64"/>
      <c r="B802" s="79" t="s">
        <v>1478</v>
      </c>
      <c r="C802" s="21" t="s">
        <v>1523</v>
      </c>
      <c r="D802" s="263" t="s">
        <v>112</v>
      </c>
      <c r="E802" s="21" t="s">
        <v>1524</v>
      </c>
      <c r="F802" s="261" t="str">
        <f>IF(wskakunin_sekou3_SEKOU_NO="","",wskakunin_sekou3_SEKOU_NO)</f>
        <v/>
      </c>
      <c r="H802" s="22"/>
    </row>
    <row r="803" spans="1:8" ht="12">
      <c r="A803" s="64"/>
      <c r="B803" s="79" t="s">
        <v>1482</v>
      </c>
      <c r="C803" s="21" t="s">
        <v>1525</v>
      </c>
      <c r="D803" s="261" t="s">
        <v>112</v>
      </c>
      <c r="E803" s="21" t="s">
        <v>1526</v>
      </c>
      <c r="F803" s="261" t="str">
        <f>IF(wskakunin_sekou3_JIMU_NAME="", "", wskakunin_sekou3_JIMU_NAME)</f>
        <v/>
      </c>
      <c r="H803" s="22"/>
    </row>
    <row r="804" spans="1:8" ht="12">
      <c r="A804" s="64"/>
      <c r="B804" s="79" t="s">
        <v>205</v>
      </c>
      <c r="C804" s="21" t="s">
        <v>1527</v>
      </c>
      <c r="D804" s="263" t="s">
        <v>112</v>
      </c>
      <c r="E804" s="21" t="s">
        <v>1528</v>
      </c>
      <c r="F804" s="261" t="str">
        <f>IF(wskakunin_sekou3_ZIP="", "", wskakunin_sekou3_ZIP)</f>
        <v/>
      </c>
      <c r="H804" s="22"/>
    </row>
    <row r="805" spans="1:8" ht="12">
      <c r="A805" s="64"/>
      <c r="B805" s="79" t="s">
        <v>438</v>
      </c>
      <c r="C805" s="21" t="s">
        <v>1529</v>
      </c>
      <c r="D805" s="261" t="s">
        <v>112</v>
      </c>
      <c r="E805" s="21" t="s">
        <v>1530</v>
      </c>
      <c r="F805" s="261" t="str">
        <f>IF(wskakunin_sekou3__address="", "", wskakunin_sekou3__address)</f>
        <v/>
      </c>
      <c r="H805" s="22"/>
    </row>
    <row r="806" spans="1:8" ht="12">
      <c r="A806" s="64"/>
      <c r="B806" s="79" t="s">
        <v>214</v>
      </c>
      <c r="C806" s="21" t="s">
        <v>1531</v>
      </c>
      <c r="D806" s="263" t="s">
        <v>112</v>
      </c>
      <c r="E806" s="21" t="s">
        <v>1532</v>
      </c>
      <c r="F806" s="261" t="str">
        <f>IF(wskakunin_sekou3_TEL="", "", wskakunin_sekou3_TEL)</f>
        <v/>
      </c>
      <c r="H806" s="22"/>
    </row>
    <row r="807" spans="1:8" ht="12">
      <c r="A807" s="64"/>
      <c r="B807" s="79"/>
      <c r="D807" s="37"/>
      <c r="F807" s="22"/>
      <c r="H807" s="22"/>
    </row>
    <row r="808" spans="1:8" ht="12">
      <c r="A808" s="55" t="s">
        <v>1533</v>
      </c>
      <c r="B808" s="56"/>
      <c r="D808" s="37"/>
      <c r="F808" s="22"/>
      <c r="H808" s="22"/>
    </row>
    <row r="809" spans="1:8" ht="12">
      <c r="A809" s="64"/>
      <c r="B809" s="79" t="s">
        <v>194</v>
      </c>
      <c r="C809" s="21" t="s">
        <v>1534</v>
      </c>
      <c r="D809" s="261" t="s">
        <v>112</v>
      </c>
      <c r="E809" s="21" t="s">
        <v>1535</v>
      </c>
      <c r="F809" s="261" t="str">
        <f>IF(wskakunin_sekou4_NAME="", "", wskakunin_sekou4_NAME)</f>
        <v/>
      </c>
      <c r="H809" s="22"/>
    </row>
    <row r="810" spans="1:8" ht="12">
      <c r="A810" s="64"/>
      <c r="B810" s="79" t="s">
        <v>1470</v>
      </c>
      <c r="C810" s="21" t="s">
        <v>1536</v>
      </c>
      <c r="D810" s="261" t="s">
        <v>112</v>
      </c>
      <c r="E810" s="21" t="s">
        <v>1537</v>
      </c>
      <c r="F810" s="261" t="str">
        <f>IF(wskakunin_sekou4_SEKOU__sikaku="", "", wskakunin_sekou4_SEKOU__sikaku)</f>
        <v/>
      </c>
      <c r="H810" s="22"/>
    </row>
    <row r="811" spans="1:8" ht="12">
      <c r="A811" s="64"/>
      <c r="B811" s="79" t="s">
        <v>1474</v>
      </c>
      <c r="C811" s="21" t="s">
        <v>1538</v>
      </c>
      <c r="D811" s="261" t="s">
        <v>112</v>
      </c>
      <c r="E811" s="21" t="s">
        <v>1539</v>
      </c>
      <c r="F811" s="261" t="str">
        <f>IF(wskakunin_sekou4_SEKOU_SIKAKU__label="", "",wskakunin_sekou4_SEKOU_SIKAKU__label)</f>
        <v/>
      </c>
      <c r="H811" s="22"/>
    </row>
    <row r="812" spans="1:8" ht="12">
      <c r="A812" s="64"/>
      <c r="B812" s="79" t="s">
        <v>1478</v>
      </c>
      <c r="C812" s="21" t="s">
        <v>1540</v>
      </c>
      <c r="D812" s="263" t="s">
        <v>112</v>
      </c>
      <c r="E812" s="21" t="s">
        <v>1541</v>
      </c>
      <c r="F812" s="261" t="str">
        <f>IF(wskakunin_sekou4_SEKOU_NO="","",wskakunin_sekou4_SEKOU_NO)</f>
        <v/>
      </c>
      <c r="H812" s="22"/>
    </row>
    <row r="813" spans="1:8" ht="12">
      <c r="A813" s="64"/>
      <c r="B813" s="79" t="s">
        <v>1482</v>
      </c>
      <c r="C813" s="21" t="s">
        <v>1542</v>
      </c>
      <c r="D813" s="261" t="s">
        <v>112</v>
      </c>
      <c r="E813" s="21" t="s">
        <v>1543</v>
      </c>
      <c r="F813" s="261" t="str">
        <f>IF(wskakunin_sekou4_JIMU_NAME="", "", wskakunin_sekou4_JIMU_NAME)</f>
        <v/>
      </c>
      <c r="H813" s="22"/>
    </row>
    <row r="814" spans="1:8" ht="12">
      <c r="A814" s="64"/>
      <c r="B814" s="79" t="s">
        <v>205</v>
      </c>
      <c r="C814" s="21" t="s">
        <v>1544</v>
      </c>
      <c r="D814" s="263" t="s">
        <v>112</v>
      </c>
      <c r="E814" s="21" t="s">
        <v>1545</v>
      </c>
      <c r="F814" s="261" t="str">
        <f>IF(wskakunin_sekou4_ZIP="", "", wskakunin_sekou4_ZIP)</f>
        <v/>
      </c>
      <c r="H814" s="22"/>
    </row>
    <row r="815" spans="1:8" ht="12">
      <c r="A815" s="64"/>
      <c r="B815" s="79" t="s">
        <v>438</v>
      </c>
      <c r="C815" s="21" t="s">
        <v>1546</v>
      </c>
      <c r="D815" s="261" t="s">
        <v>112</v>
      </c>
      <c r="E815" s="21" t="s">
        <v>1547</v>
      </c>
      <c r="F815" s="261" t="str">
        <f>IF(wskakunin_sekou4__address="", "", wskakunin_sekou4__address)</f>
        <v/>
      </c>
      <c r="H815" s="22"/>
    </row>
    <row r="816" spans="1:8" ht="12">
      <c r="A816" s="64"/>
      <c r="B816" s="79" t="s">
        <v>214</v>
      </c>
      <c r="C816" s="21" t="s">
        <v>1548</v>
      </c>
      <c r="D816" s="263" t="s">
        <v>112</v>
      </c>
      <c r="E816" s="21" t="s">
        <v>1549</v>
      </c>
      <c r="F816" s="261" t="str">
        <f>IF(wskakunin_sekou4_TEL="", "", wskakunin_sekou4_TEL)</f>
        <v/>
      </c>
      <c r="H816" s="22"/>
    </row>
    <row r="817" spans="1:8" ht="12">
      <c r="A817" s="64"/>
      <c r="B817" s="79"/>
      <c r="D817" s="37"/>
      <c r="F817" s="22"/>
      <c r="H817" s="22"/>
    </row>
    <row r="818" spans="1:8" ht="12">
      <c r="A818" s="55" t="s">
        <v>1550</v>
      </c>
      <c r="B818" s="56"/>
      <c r="D818" s="37"/>
      <c r="F818" s="22"/>
      <c r="H818" s="22"/>
    </row>
    <row r="819" spans="1:8" ht="12">
      <c r="A819" s="64"/>
      <c r="B819" s="79" t="s">
        <v>194</v>
      </c>
      <c r="C819" s="21" t="s">
        <v>1551</v>
      </c>
      <c r="D819" s="261" t="s">
        <v>112</v>
      </c>
      <c r="E819" s="21" t="s">
        <v>1552</v>
      </c>
      <c r="F819" s="261" t="str">
        <f>IF(wskakunin_sekou5_NAME="", "", wskakunin_sekou5_NAME)</f>
        <v/>
      </c>
      <c r="H819" s="22"/>
    </row>
    <row r="820" spans="1:8" ht="12">
      <c r="A820" s="64"/>
      <c r="B820" s="79" t="s">
        <v>1470</v>
      </c>
      <c r="C820" s="21" t="s">
        <v>1553</v>
      </c>
      <c r="D820" s="261" t="s">
        <v>112</v>
      </c>
      <c r="E820" s="21" t="s">
        <v>1554</v>
      </c>
      <c r="F820" s="261" t="str">
        <f>IF(wskakunin_sekou5_SEKOU__sikaku="", "", wskakunin_sekou5_SEKOU__sikaku)</f>
        <v/>
      </c>
      <c r="H820" s="22"/>
    </row>
    <row r="821" spans="1:8" ht="12">
      <c r="A821" s="64"/>
      <c r="B821" s="79" t="s">
        <v>1474</v>
      </c>
      <c r="C821" s="21" t="s">
        <v>1555</v>
      </c>
      <c r="D821" s="261" t="s">
        <v>112</v>
      </c>
      <c r="E821" s="21" t="s">
        <v>1556</v>
      </c>
      <c r="F821" s="261" t="str">
        <f>IF(wskakunin_sekou5_SEKOU_SIKAKU__label="", "",wskakunin_sekou5_SEKOU_SIKAKU__label)</f>
        <v/>
      </c>
      <c r="H821" s="22"/>
    </row>
    <row r="822" spans="1:8" ht="12">
      <c r="A822" s="64"/>
      <c r="B822" s="79" t="s">
        <v>1478</v>
      </c>
      <c r="C822" s="21" t="s">
        <v>1557</v>
      </c>
      <c r="D822" s="263" t="s">
        <v>112</v>
      </c>
      <c r="E822" s="21" t="s">
        <v>1558</v>
      </c>
      <c r="F822" s="261" t="str">
        <f>IF(wskakunin_sekou5_SEKOU_NO="","",wskakunin_sekou5_SEKOU_NO)</f>
        <v/>
      </c>
      <c r="H822" s="22"/>
    </row>
    <row r="823" spans="1:8" ht="12">
      <c r="A823" s="64"/>
      <c r="B823" s="79" t="s">
        <v>1482</v>
      </c>
      <c r="C823" s="21" t="s">
        <v>1559</v>
      </c>
      <c r="D823" s="261" t="s">
        <v>112</v>
      </c>
      <c r="E823" s="21" t="s">
        <v>1560</v>
      </c>
      <c r="F823" s="261" t="str">
        <f>IF(wskakunin_sekou5_JIMU_NAME="", "", wskakunin_sekou5_JIMU_NAME)</f>
        <v/>
      </c>
      <c r="H823" s="22"/>
    </row>
    <row r="824" spans="1:8" ht="12">
      <c r="A824" s="64"/>
      <c r="B824" s="79" t="s">
        <v>205</v>
      </c>
      <c r="C824" s="21" t="s">
        <v>1561</v>
      </c>
      <c r="D824" s="263" t="s">
        <v>112</v>
      </c>
      <c r="E824" s="21" t="s">
        <v>1562</v>
      </c>
      <c r="F824" s="261" t="str">
        <f>IF(wskakunin_sekou5_ZIP="", "", wskakunin_sekou5_ZIP)</f>
        <v/>
      </c>
      <c r="H824" s="22"/>
    </row>
    <row r="825" spans="1:8" ht="12">
      <c r="A825" s="64"/>
      <c r="B825" s="79" t="s">
        <v>438</v>
      </c>
      <c r="C825" s="21" t="s">
        <v>1563</v>
      </c>
      <c r="D825" s="261" t="s">
        <v>112</v>
      </c>
      <c r="E825" s="21" t="s">
        <v>1564</v>
      </c>
      <c r="F825" s="261" t="str">
        <f>IF(wskakunin_sekou5__address="", "", wskakunin_sekou5__address)</f>
        <v/>
      </c>
      <c r="H825" s="22"/>
    </row>
    <row r="826" spans="1:8" ht="12">
      <c r="A826" s="64"/>
      <c r="B826" s="79" t="s">
        <v>214</v>
      </c>
      <c r="C826" s="21" t="s">
        <v>1565</v>
      </c>
      <c r="D826" s="263" t="s">
        <v>112</v>
      </c>
      <c r="E826" s="21" t="s">
        <v>1566</v>
      </c>
      <c r="F826" s="261" t="str">
        <f>IF(wskakunin_sekou5_TEL="", "", wskakunin_sekou5_TEL)</f>
        <v/>
      </c>
      <c r="H826" s="22"/>
    </row>
    <row r="827" spans="1:8" ht="12">
      <c r="A827" s="64"/>
      <c r="B827" s="79"/>
      <c r="D827" s="37"/>
      <c r="F827" s="22"/>
      <c r="H827" s="22"/>
    </row>
    <row r="828" spans="1:8" ht="12">
      <c r="A828" s="55" t="s">
        <v>1567</v>
      </c>
      <c r="B828" s="56"/>
      <c r="D828" s="37"/>
      <c r="F828" s="22"/>
      <c r="H828" s="22"/>
    </row>
    <row r="829" spans="1:8" ht="12">
      <c r="A829" s="64"/>
      <c r="B829" s="79" t="s">
        <v>194</v>
      </c>
      <c r="C829" s="21" t="s">
        <v>1568</v>
      </c>
      <c r="D829" s="261" t="s">
        <v>112</v>
      </c>
      <c r="E829" s="21" t="s">
        <v>1569</v>
      </c>
      <c r="F829" s="261" t="str">
        <f>IF(wskakunin_sekou6_NAME="", "", wskakunin_sekou6_NAME)</f>
        <v/>
      </c>
      <c r="H829" s="22"/>
    </row>
    <row r="830" spans="1:8" ht="12">
      <c r="A830" s="64"/>
      <c r="B830" s="79" t="s">
        <v>1470</v>
      </c>
      <c r="C830" s="21" t="s">
        <v>1570</v>
      </c>
      <c r="D830" s="261" t="s">
        <v>112</v>
      </c>
      <c r="E830" s="21" t="s">
        <v>1571</v>
      </c>
      <c r="F830" s="261" t="str">
        <f>IF(wskakunin_sekou6_SEKOU__sikaku="", "", wskakunin_sekou6_SEKOU__sikaku)</f>
        <v/>
      </c>
      <c r="H830" s="22"/>
    </row>
    <row r="831" spans="1:8" ht="12">
      <c r="A831" s="64"/>
      <c r="B831" s="79" t="s">
        <v>1474</v>
      </c>
      <c r="C831" s="21" t="s">
        <v>1572</v>
      </c>
      <c r="D831" s="261" t="s">
        <v>112</v>
      </c>
      <c r="E831" s="21" t="s">
        <v>1573</v>
      </c>
      <c r="F831" s="261" t="str">
        <f>IF(wskakunin_sekou6_SEKOU_SIKAKU__label="", "",wskakunin_sekou6_SEKOU_SIKAKU__label)</f>
        <v/>
      </c>
      <c r="H831" s="22"/>
    </row>
    <row r="832" spans="1:8" ht="12">
      <c r="A832" s="64"/>
      <c r="B832" s="79" t="s">
        <v>1478</v>
      </c>
      <c r="C832" s="21" t="s">
        <v>1574</v>
      </c>
      <c r="D832" s="263" t="s">
        <v>112</v>
      </c>
      <c r="E832" s="21" t="s">
        <v>1575</v>
      </c>
      <c r="F832" s="261" t="str">
        <f>IF(wskakunin_sekou6_SEKOU_NO="","",wskakunin_sekou6_SEKOU_NO)</f>
        <v/>
      </c>
      <c r="H832" s="22"/>
    </row>
    <row r="833" spans="1:8" ht="12">
      <c r="A833" s="64"/>
      <c r="B833" s="79" t="s">
        <v>1482</v>
      </c>
      <c r="C833" s="21" t="s">
        <v>1576</v>
      </c>
      <c r="D833" s="261" t="s">
        <v>112</v>
      </c>
      <c r="E833" s="21" t="s">
        <v>1577</v>
      </c>
      <c r="F833" s="261" t="str">
        <f>IF(wskakunin_sekou6_JIMU_NAME="", "", wskakunin_sekou6_JIMU_NAME)</f>
        <v/>
      </c>
      <c r="H833" s="22"/>
    </row>
    <row r="834" spans="1:8" ht="12">
      <c r="A834" s="64"/>
      <c r="B834" s="79" t="s">
        <v>205</v>
      </c>
      <c r="C834" s="21" t="s">
        <v>1578</v>
      </c>
      <c r="D834" s="263" t="s">
        <v>112</v>
      </c>
      <c r="E834" s="21" t="s">
        <v>1579</v>
      </c>
      <c r="F834" s="261" t="str">
        <f>IF(wskakunin_sekou6_ZIP="", "", wskakunin_sekou6_ZIP)</f>
        <v/>
      </c>
      <c r="H834" s="22"/>
    </row>
    <row r="835" spans="1:8" ht="12">
      <c r="A835" s="64"/>
      <c r="B835" s="79" t="s">
        <v>438</v>
      </c>
      <c r="C835" s="21" t="s">
        <v>1580</v>
      </c>
      <c r="D835" s="261" t="s">
        <v>112</v>
      </c>
      <c r="E835" s="21" t="s">
        <v>1581</v>
      </c>
      <c r="F835" s="261" t="str">
        <f>IF(wskakunin_sekou6__address="", "", wskakunin_sekou6__address)</f>
        <v/>
      </c>
      <c r="H835" s="22"/>
    </row>
    <row r="836" spans="1:8" ht="12">
      <c r="A836" s="64"/>
      <c r="B836" s="79" t="s">
        <v>214</v>
      </c>
      <c r="C836" s="21" t="s">
        <v>1582</v>
      </c>
      <c r="D836" s="263" t="s">
        <v>112</v>
      </c>
      <c r="E836" s="21" t="s">
        <v>1583</v>
      </c>
      <c r="F836" s="261" t="str">
        <f>IF(wskakunin_sekou6_TEL="", "", wskakunin_sekou6_TEL)</f>
        <v/>
      </c>
      <c r="H836" s="22"/>
    </row>
    <row r="837" spans="1:8" ht="12">
      <c r="A837" s="64"/>
      <c r="B837" s="79"/>
      <c r="D837" s="37"/>
      <c r="F837" s="22"/>
      <c r="G837" s="22"/>
      <c r="H837" s="22"/>
    </row>
    <row r="838" spans="1:8" ht="12">
      <c r="A838" s="67" t="s">
        <v>1584</v>
      </c>
      <c r="B838" s="62"/>
      <c r="D838" s="37"/>
      <c r="F838" s="22"/>
      <c r="G838" s="22"/>
      <c r="H838" s="22"/>
    </row>
    <row r="839" spans="1:8" ht="12">
      <c r="A839" s="64"/>
      <c r="B839" s="57" t="s">
        <v>1585</v>
      </c>
      <c r="D839" s="22"/>
      <c r="E839" s="21" t="s">
        <v>1586</v>
      </c>
      <c r="F839" s="261" t="b">
        <f>IF(ISERROR(FIND("一建設", cst_wskakunin_sekou1_JIMU_NAME)), FALSE, FIND("一建設", cst_wskakunin_sekou1_JIMU_NAME)=1)</f>
        <v>0</v>
      </c>
      <c r="G839" s="22" t="s">
        <v>1587</v>
      </c>
    </row>
    <row r="840" spans="1:8" ht="12">
      <c r="A840" s="64"/>
      <c r="B840" s="58" t="s">
        <v>1588</v>
      </c>
      <c r="D840" s="22"/>
      <c r="E840" s="21" t="s">
        <v>1589</v>
      </c>
      <c r="F840" s="261">
        <f>IF(ISERROR(FIND("ケイアイスター不動産", cst_wskakunin_sekou1_JIMU_NAME)), 0, 1)</f>
        <v>0</v>
      </c>
      <c r="G840" s="22"/>
      <c r="H840" s="22"/>
    </row>
    <row r="841" spans="1:8" ht="12">
      <c r="A841" s="65"/>
      <c r="B841" s="59"/>
      <c r="D841" s="22"/>
      <c r="F841" s="22"/>
      <c r="G841" s="22"/>
      <c r="H841" s="22"/>
    </row>
    <row r="842" spans="1:8" ht="12">
      <c r="A842" s="49" t="s">
        <v>1590</v>
      </c>
      <c r="B842" s="50"/>
      <c r="C842" s="21" t="s">
        <v>1591</v>
      </c>
      <c r="D842" s="162" t="s">
        <v>1592</v>
      </c>
      <c r="E842" s="21" t="s">
        <v>1593</v>
      </c>
      <c r="F842" s="162" t="str">
        <f>IF(wskakunin_BUILD_NAME="", "",wskakunin_BUILD_NAME)</f>
        <v>猫山邸　新築工事</v>
      </c>
      <c r="G842" s="22"/>
      <c r="H842" s="22"/>
    </row>
    <row r="843" spans="1:8" ht="12">
      <c r="A843" s="54"/>
      <c r="B843" s="66" t="s">
        <v>413</v>
      </c>
      <c r="C843" s="21" t="s">
        <v>1594</v>
      </c>
      <c r="D843" s="269" t="s">
        <v>112</v>
      </c>
      <c r="E843" s="21" t="s">
        <v>1595</v>
      </c>
      <c r="F843" s="269" t="str">
        <f>IF(wskakunin_BUILD_NAME_KANA="","",wskakunin_BUILD_NAME_KANA)</f>
        <v/>
      </c>
      <c r="G843" s="22"/>
      <c r="H843" s="22"/>
    </row>
    <row r="844" spans="1:8" ht="12">
      <c r="A844" s="101" t="s">
        <v>1596</v>
      </c>
      <c r="B844" s="102"/>
      <c r="C844" s="21" t="s">
        <v>1597</v>
      </c>
      <c r="D844" s="162" t="s">
        <v>112</v>
      </c>
      <c r="E844" s="21" t="s">
        <v>1598</v>
      </c>
      <c r="F844" s="162" t="str">
        <f>IF(wskakunin_P2_BIKOU="","",wskakunin_P2_BIKOU)</f>
        <v/>
      </c>
    </row>
    <row r="845" spans="1:8" ht="12">
      <c r="A845" s="54"/>
      <c r="B845" s="66"/>
    </row>
    <row r="847" spans="1:8" ht="12">
      <c r="A847" s="51" t="s">
        <v>1599</v>
      </c>
      <c r="B847" s="52"/>
      <c r="G847" s="22"/>
      <c r="H847" s="22"/>
    </row>
    <row r="848" spans="1:8" ht="12">
      <c r="A848" s="53"/>
      <c r="B848" s="77" t="s">
        <v>1600</v>
      </c>
      <c r="C848" s="21" t="s">
        <v>1601</v>
      </c>
      <c r="D848" s="162"/>
      <c r="G848" s="22"/>
      <c r="H848" s="22"/>
    </row>
    <row r="849" spans="1:8" ht="12">
      <c r="A849" s="53"/>
      <c r="B849" s="76" t="s">
        <v>1602</v>
      </c>
      <c r="E849" s="21" t="s">
        <v>1603</v>
      </c>
      <c r="F849" s="47" t="str">
        <f>IF(wskakunin_tekihan01_TEKIHAN_STATE=1,"■","□")</f>
        <v>□</v>
      </c>
      <c r="G849" s="22"/>
      <c r="H849" s="22"/>
    </row>
    <row r="850" spans="1:8" ht="12">
      <c r="A850" s="53"/>
      <c r="B850" s="76" t="s">
        <v>1604</v>
      </c>
      <c r="E850" s="21" t="s">
        <v>1605</v>
      </c>
      <c r="F850" s="47" t="str">
        <f>IF(wskakunin_tekihan01_TEKIHAN_STATE=2,"■","□")</f>
        <v>□</v>
      </c>
      <c r="G850" s="22"/>
      <c r="H850" s="22"/>
    </row>
    <row r="851" spans="1:8" ht="12">
      <c r="A851" s="53"/>
      <c r="B851" s="76" t="s">
        <v>1606</v>
      </c>
      <c r="E851" s="21" t="s">
        <v>1607</v>
      </c>
      <c r="F851" s="47" t="str">
        <f>IF(wskakunin_tekihan01_TEKIHAN_STATE=3,"■","□")</f>
        <v>□</v>
      </c>
      <c r="G851" s="22"/>
      <c r="H851" s="22"/>
    </row>
    <row r="852" spans="1:8" ht="12">
      <c r="A852" s="53"/>
      <c r="B852" s="77" t="s">
        <v>1608</v>
      </c>
      <c r="C852" s="21" t="s">
        <v>1609</v>
      </c>
      <c r="D852" s="162"/>
      <c r="E852" s="21" t="s">
        <v>1610</v>
      </c>
      <c r="F852" s="47" t="str">
        <f>IF(wskakunin_tekihan01_TEKIHAN_KIKAN_NAME="","",wskakunin_tekihan01_TEKIHAN_KIKAN_NAME)</f>
        <v/>
      </c>
      <c r="G852" s="22"/>
      <c r="H852" s="22"/>
    </row>
    <row r="853" spans="1:8" ht="12">
      <c r="A853" s="53"/>
      <c r="B853" s="77" t="s">
        <v>1611</v>
      </c>
      <c r="C853" s="21" t="s">
        <v>1612</v>
      </c>
      <c r="D853" s="162"/>
      <c r="E853" s="21" t="s">
        <v>1613</v>
      </c>
      <c r="F853" s="47" t="str">
        <f>IF(wskakunin_tekihan01_TEKIHAN_KIKAN_KEN__ken="","",wskakunin_tekihan01_TEKIHAN_KIKAN_KEN__ken)</f>
        <v/>
      </c>
      <c r="G853" s="22"/>
      <c r="H853" s="22"/>
    </row>
    <row r="854" spans="1:8" ht="12">
      <c r="A854" s="53"/>
      <c r="B854" s="77" t="s">
        <v>1614</v>
      </c>
      <c r="C854" s="21" t="s">
        <v>1615</v>
      </c>
      <c r="D854" s="162"/>
      <c r="E854" s="21" t="s">
        <v>1616</v>
      </c>
      <c r="F854" s="47" t="str">
        <f>IF(wskakunin_tekihan01_TEKIHAN_KIKAN_ADDRESS="","",wskakunin_tekihan01_TEKIHAN_KIKAN_ADDRESS)</f>
        <v/>
      </c>
      <c r="G854" s="22"/>
      <c r="H854" s="22"/>
    </row>
    <row r="855" spans="1:8" ht="12">
      <c r="A855" s="53"/>
      <c r="B855" s="77" t="s">
        <v>1617</v>
      </c>
      <c r="D855" s="162"/>
      <c r="E855" s="21" t="s">
        <v>1618</v>
      </c>
      <c r="F855" s="47" t="str">
        <f>cst_wskakunin_tekihan01_TEKIHAN_KIKAN_NAME&amp;IF(OR(cst_wskakunin_tekihan01_TEKIHAN_KIKAN_KEN__ken&lt;&gt;"",cst_wskakunin_tekihan01_TEKIHAN_KIKAN_ADDRESS&lt;&gt;""),"  ","")&amp;cst_wskakunin_tekihan01_TEKIHAN_KIKAN_KEN__ken&amp;cst_wskakunin_tekihan01_TEKIHAN_KIKAN_ADDRESS</f>
        <v/>
      </c>
      <c r="G855" s="22"/>
      <c r="H855" s="22"/>
    </row>
    <row r="856" spans="1:8" ht="12">
      <c r="A856" s="53"/>
      <c r="B856" s="77" t="s">
        <v>1608</v>
      </c>
      <c r="C856" s="21" t="s">
        <v>1619</v>
      </c>
      <c r="D856" s="162"/>
      <c r="E856" s="21" t="s">
        <v>1620</v>
      </c>
      <c r="F856" s="47" t="str">
        <f>IF(wskakunin_tekihan02_TEKIHAN_KIKAN_NAME="","",wskakunin_tekihan02_TEKIHAN_KIKAN_NAME)</f>
        <v/>
      </c>
      <c r="G856" s="22"/>
      <c r="H856" s="22"/>
    </row>
    <row r="857" spans="1:8" ht="12">
      <c r="A857" s="53"/>
      <c r="B857" s="77" t="s">
        <v>1611</v>
      </c>
      <c r="C857" s="21" t="s">
        <v>1621</v>
      </c>
      <c r="D857" s="162"/>
      <c r="E857" s="21" t="s">
        <v>1622</v>
      </c>
      <c r="F857" s="47" t="str">
        <f>IF(wskakunin_tekihan02_TEKIHAN_KIKAN_KEN__ken="","",wskakunin_tekihan02_TEKIHAN_KIKAN_KEN__ken)</f>
        <v/>
      </c>
      <c r="G857" s="22"/>
      <c r="H857" s="22"/>
    </row>
    <row r="858" spans="1:8" ht="12">
      <c r="A858" s="53"/>
      <c r="B858" s="77" t="s">
        <v>1614</v>
      </c>
      <c r="C858" s="21" t="s">
        <v>1623</v>
      </c>
      <c r="D858" s="162"/>
      <c r="E858" s="21" t="s">
        <v>1624</v>
      </c>
      <c r="F858" s="47" t="str">
        <f>IF(wskakunin_tekihan02_TEKIHAN_KIKAN_ADDRESS="","",wskakunin_tekihan02_TEKIHAN_KIKAN_ADDRESS)</f>
        <v/>
      </c>
      <c r="G858" s="22"/>
      <c r="H858" s="22"/>
    </row>
    <row r="859" spans="1:8" ht="12">
      <c r="A859" s="53"/>
      <c r="B859" s="77" t="s">
        <v>1617</v>
      </c>
      <c r="D859" s="162"/>
      <c r="E859" s="21" t="s">
        <v>1625</v>
      </c>
      <c r="F859" s="47" t="str">
        <f>cst_wskakunin_tekihan02_TEKIHAN_KIKAN_NAME&amp;IF(OR(cst_wskakunin_tekihan02_TEKIHAN_KIKAN_KEN__ken&lt;&gt;"",cst_wskakunin_tekihan02_TEKIHAN_KIKAN_ADDRESS&lt;&gt;""),"  ","")&amp;cst_wskakunin_tekihan02_TEKIHAN_KIKAN_KEN__ken&amp;cst_wskakunin_tekihan02_TEKIHAN_KIKAN_ADDRESS</f>
        <v/>
      </c>
      <c r="G859" s="22"/>
      <c r="H859" s="22"/>
    </row>
    <row r="860" spans="1:8" ht="12">
      <c r="A860" s="53"/>
      <c r="B860" s="78"/>
      <c r="G860" s="22"/>
      <c r="H860" s="22"/>
    </row>
    <row r="861" spans="1:8" ht="12">
      <c r="A861" s="51" t="s">
        <v>1626</v>
      </c>
      <c r="B861" s="52"/>
      <c r="G861" s="22"/>
      <c r="H861" s="22"/>
    </row>
    <row r="862" spans="1:8" ht="12">
      <c r="A862" s="53"/>
      <c r="B862" s="76" t="s">
        <v>1627</v>
      </c>
      <c r="C862" s="21" t="s">
        <v>1628</v>
      </c>
      <c r="D862" s="47"/>
      <c r="G862" s="22"/>
      <c r="H862" s="22"/>
    </row>
    <row r="863" spans="1:8" ht="12">
      <c r="A863" s="53"/>
      <c r="B863" s="76" t="s">
        <v>1629</v>
      </c>
      <c r="E863" s="21" t="s">
        <v>1630</v>
      </c>
      <c r="F863" s="47" t="str">
        <f>IF(wskakunin_ecotekihan01_TEKIHAN_STATE=1,"■","□")</f>
        <v>□</v>
      </c>
      <c r="G863" s="22">
        <v>1</v>
      </c>
      <c r="H863" s="22"/>
    </row>
    <row r="864" spans="1:8" ht="12">
      <c r="A864" s="53"/>
      <c r="B864" s="76" t="s">
        <v>1631</v>
      </c>
      <c r="E864" s="21" t="s">
        <v>1632</v>
      </c>
      <c r="F864" s="47" t="str">
        <f>IF(wskakunin_ecotekihan01_TEKIHAN_STATE=2,"■","□")</f>
        <v>□</v>
      </c>
      <c r="G864" s="22">
        <v>2</v>
      </c>
      <c r="H864" s="22"/>
    </row>
    <row r="865" spans="1:8" ht="12">
      <c r="A865" s="53"/>
      <c r="B865" s="76" t="s">
        <v>1633</v>
      </c>
      <c r="E865" s="21" t="s">
        <v>1634</v>
      </c>
      <c r="F865" s="47" t="str">
        <f>IF(wskakunin_ecotekihan01_TEKIHAN_STATE=3,"■","□")</f>
        <v>□</v>
      </c>
      <c r="G865" s="22">
        <v>3</v>
      </c>
      <c r="H865" s="22"/>
    </row>
    <row r="866" spans="1:8" ht="12">
      <c r="A866" s="53"/>
      <c r="B866" s="77" t="s">
        <v>1608</v>
      </c>
      <c r="C866" s="21" t="s">
        <v>1635</v>
      </c>
      <c r="D866" s="47"/>
      <c r="E866" s="21" t="s">
        <v>1636</v>
      </c>
      <c r="F866" s="47" t="str">
        <f>IF(wskakunin_ecotekihan01_TEKIHAN_KIKAN_NAME="","",wskakunin_ecotekihan01_TEKIHAN_KIKAN_NAME)</f>
        <v/>
      </c>
      <c r="G866" s="22"/>
      <c r="H866" s="22"/>
    </row>
    <row r="867" spans="1:8" ht="12">
      <c r="A867" s="53"/>
      <c r="B867" s="77" t="s">
        <v>1611</v>
      </c>
      <c r="C867" s="21" t="s">
        <v>1637</v>
      </c>
      <c r="D867" s="47"/>
      <c r="E867" s="21" t="s">
        <v>1638</v>
      </c>
      <c r="F867" s="47" t="str">
        <f>IF(wskakunin_ecotekihan01_TEKIHAN_KIKAN_KEN__ken="","",wskakunin_ecotekihan01_TEKIHAN_KIKAN_KEN__ken)</f>
        <v/>
      </c>
      <c r="G867" s="22"/>
      <c r="H867" s="22"/>
    </row>
    <row r="868" spans="1:8" ht="12">
      <c r="A868" s="53"/>
      <c r="B868" s="77" t="s">
        <v>1614</v>
      </c>
      <c r="C868" s="21" t="s">
        <v>1639</v>
      </c>
      <c r="D868" s="47"/>
      <c r="E868" s="21" t="s">
        <v>1640</v>
      </c>
      <c r="F868" s="47" t="str">
        <f>IF(wskakunin_ecotekihan01_TEKIHAN_KIKAN_ADDRESS="","",wskakunin_ecotekihan01_TEKIHAN_KIKAN_ADDRESS)</f>
        <v/>
      </c>
      <c r="G868" s="22"/>
      <c r="H868" s="22"/>
    </row>
    <row r="869" spans="1:8" ht="12">
      <c r="A869" s="53"/>
      <c r="B869" s="77"/>
      <c r="G869" s="22"/>
      <c r="H869" s="22"/>
    </row>
    <row r="870" spans="1:8" ht="12">
      <c r="A870" s="53"/>
      <c r="B870" s="77" t="s">
        <v>1641</v>
      </c>
      <c r="E870" s="21" t="s">
        <v>1642</v>
      </c>
      <c r="F870" s="47" t="str">
        <f>IF(wskakunin_ecotekihan01_TEKIHAN_STATE=1,cst_wskakunin_ecotekihan01_TEKIHAN_KIKAN_NAME&amp;IF(OR(cst_wskakunin_ecotekihan01_TEKIHAN_KIKAN_KEN__ken&lt;&gt;"",cst_wskakunin_ecotekihan01_TEKIHAN_KIKAN_ADDRESS&lt;&gt;""),"  ","")&amp;cst_wskakunin_ecotekihan01_TEKIHAN_KIKAN_KEN__ken&amp;cst_wskakunin_ecotekihan01_TEKIHAN_KIKAN_ADDRESS,"")</f>
        <v/>
      </c>
      <c r="G870" s="22"/>
      <c r="H870" s="22"/>
    </row>
    <row r="871" spans="1:8" ht="12">
      <c r="A871" s="53"/>
      <c r="B871" s="77" t="s">
        <v>1643</v>
      </c>
      <c r="E871" s="21" t="s">
        <v>1644</v>
      </c>
      <c r="F871" s="47" t="str">
        <f>IF(wskakunin_ecotekihan01_TEKIHAN_STATE=2,cst_wskakunin_ecotekihan01_TEKIHAN_KIKAN_NAME&amp;IF(OR(cst_wskakunin_ecotekihan01_TEKIHAN_KIKAN_KEN__ken&lt;&gt;"",cst_wskakunin_ecotekihan01_TEKIHAN_KIKAN_ADDRESS&lt;&gt;""),"  ","")&amp;cst_wskakunin_ecotekihan01_TEKIHAN_KIKAN_KEN__ken&amp;cst_wskakunin_ecotekihan01_TEKIHAN_KIKAN_ADDRESS,"")</f>
        <v/>
      </c>
      <c r="G871" s="22"/>
      <c r="H871" s="22"/>
    </row>
    <row r="872" spans="1:8" ht="12">
      <c r="A872" s="53"/>
      <c r="B872" s="77" t="s">
        <v>1645</v>
      </c>
      <c r="C872" s="21" t="s">
        <v>1646</v>
      </c>
      <c r="D872" s="47"/>
      <c r="E872" s="21" t="s">
        <v>1647</v>
      </c>
      <c r="F872" s="47" t="str">
        <f>IF(wskakunin_ecotekihan01_FUYOU_CAUSE="","",wskakunin_ecotekihan01_FUYOU_CAUSE)</f>
        <v/>
      </c>
      <c r="G872" s="22"/>
      <c r="H872" s="22"/>
    </row>
    <row r="873" spans="1:8" ht="12">
      <c r="A873" s="54"/>
      <c r="B873" s="78"/>
      <c r="G873" s="22"/>
      <c r="H873" s="22"/>
    </row>
    <row r="874" spans="1:8" ht="12">
      <c r="G874" s="22"/>
      <c r="H874" s="22"/>
    </row>
    <row r="875" spans="1:8" ht="12">
      <c r="A875" s="55" t="s">
        <v>1648</v>
      </c>
      <c r="B875" s="114"/>
      <c r="G875" s="22"/>
      <c r="H875" s="22"/>
    </row>
    <row r="876" spans="1:8" ht="12">
      <c r="A876" s="224" t="s">
        <v>1649</v>
      </c>
      <c r="B876" s="137" t="s">
        <v>1650</v>
      </c>
      <c r="C876" s="21" t="s">
        <v>1651</v>
      </c>
      <c r="D876" s="261"/>
      <c r="E876" s="21" t="s">
        <v>1652</v>
      </c>
      <c r="F876" s="261" t="str">
        <f>IF(wskakunin_p4_1_youto1_YOUTO="", "", wskakunin_p4_1_youto1_YOUTO)</f>
        <v/>
      </c>
      <c r="G876" s="22"/>
      <c r="H876" s="22"/>
    </row>
    <row r="877" spans="1:8" ht="12">
      <c r="A877" s="115"/>
      <c r="B877" s="137" t="s">
        <v>1653</v>
      </c>
      <c r="C877" s="21" t="s">
        <v>1654</v>
      </c>
      <c r="D877" s="263"/>
      <c r="E877" s="21" t="s">
        <v>1655</v>
      </c>
      <c r="F877" s="261" t="str">
        <f>IF(wskakunin_p4_1_youto1_YOUTO_CODE="","",wskakunin_p4_1_youto1_YOUTO_CODE)</f>
        <v/>
      </c>
      <c r="G877" s="22"/>
      <c r="H877" s="22"/>
    </row>
    <row r="878" spans="1:8" ht="12">
      <c r="A878" s="115"/>
      <c r="B878" s="137" t="s">
        <v>1656</v>
      </c>
      <c r="C878" s="108"/>
      <c r="D878" s="263"/>
      <c r="E878" s="21" t="s">
        <v>1657</v>
      </c>
      <c r="F878" s="261"/>
      <c r="G878" s="22"/>
      <c r="H878" s="22"/>
    </row>
    <row r="879" spans="1:8" ht="12">
      <c r="A879" s="115"/>
      <c r="B879" s="137" t="s">
        <v>1658</v>
      </c>
      <c r="C879" s="108"/>
      <c r="D879" s="263"/>
      <c r="E879" s="21" t="s">
        <v>1659</v>
      </c>
      <c r="F879" s="261"/>
      <c r="G879" s="22"/>
      <c r="H879" s="22"/>
    </row>
    <row r="880" spans="1:8" ht="12">
      <c r="A880" s="115"/>
      <c r="B880" s="137" t="s">
        <v>1660</v>
      </c>
      <c r="C880" s="108"/>
      <c r="D880" s="263"/>
      <c r="E880" s="21" t="s">
        <v>1661</v>
      </c>
      <c r="F880" s="261"/>
      <c r="G880" s="22"/>
      <c r="H880" s="22"/>
    </row>
    <row r="881" spans="1:8" ht="12">
      <c r="A881" s="115"/>
      <c r="B881" s="137" t="s">
        <v>1662</v>
      </c>
      <c r="C881" s="108"/>
      <c r="D881" s="263"/>
      <c r="E881" s="21" t="s">
        <v>1663</v>
      </c>
      <c r="F881" s="261"/>
      <c r="G881" s="22"/>
      <c r="H881" s="22"/>
    </row>
    <row r="882" spans="1:8" ht="12">
      <c r="A882" s="115"/>
      <c r="B882" s="137" t="s">
        <v>1664</v>
      </c>
      <c r="C882" s="108"/>
      <c r="D882" s="263"/>
      <c r="E882" s="21" t="s">
        <v>1665</v>
      </c>
      <c r="F882" s="261"/>
      <c r="G882" s="22"/>
      <c r="H882" s="22"/>
    </row>
    <row r="883" spans="1:8" ht="12">
      <c r="A883" s="115"/>
      <c r="B883" s="137" t="s">
        <v>1666</v>
      </c>
      <c r="C883" s="108"/>
      <c r="D883" s="263"/>
      <c r="E883" s="21" t="s">
        <v>1667</v>
      </c>
      <c r="F883" s="261"/>
      <c r="G883" s="22"/>
      <c r="H883" s="22"/>
    </row>
    <row r="884" spans="1:8" ht="12">
      <c r="A884" s="115"/>
      <c r="B884" s="137" t="s">
        <v>1668</v>
      </c>
      <c r="C884" s="108"/>
      <c r="D884" s="263"/>
      <c r="E884" s="21" t="s">
        <v>1669</v>
      </c>
      <c r="F884" s="271" t="str">
        <f>IF(D877="08010","○","")</f>
        <v/>
      </c>
      <c r="G884" s="22"/>
      <c r="H884" s="22"/>
    </row>
    <row r="885" spans="1:8" ht="12">
      <c r="A885" s="64"/>
      <c r="B885" s="137" t="s">
        <v>1670</v>
      </c>
      <c r="C885" s="21" t="s">
        <v>1671</v>
      </c>
      <c r="D885" s="261"/>
      <c r="E885" s="21" t="s">
        <v>1672</v>
      </c>
      <c r="F885" s="261" t="str">
        <f>IF(wskakunin_p4_1__kouji="", "", wskakunin_p4_1__kouji)</f>
        <v/>
      </c>
      <c r="G885" s="22"/>
      <c r="H885" s="22"/>
    </row>
    <row r="886" spans="1:8" ht="12">
      <c r="A886" s="64"/>
      <c r="B886" s="137" t="s">
        <v>1673</v>
      </c>
      <c r="C886" s="21" t="s">
        <v>1674</v>
      </c>
      <c r="D886" s="261"/>
      <c r="E886" s="21" t="s">
        <v>1675</v>
      </c>
      <c r="F886" s="261" t="str">
        <f>IF(wskakunin_p4_1_KAISU_TIKAI_NOZOKU="", "", wskakunin_p4_1_KAISU_TIKAI_NOZOKU)</f>
        <v/>
      </c>
      <c r="G886" s="22"/>
      <c r="H886" s="22"/>
    </row>
    <row r="887" spans="1:8" ht="12">
      <c r="A887" s="64"/>
      <c r="B887" s="137" t="s">
        <v>1676</v>
      </c>
      <c r="C887" s="21" t="s">
        <v>1677</v>
      </c>
      <c r="D887" s="261"/>
      <c r="E887" s="21" t="s">
        <v>1678</v>
      </c>
      <c r="F887" s="261" t="str">
        <f>IF(wskakunin_p4_1_KAISU_TIKAI="", "", wskakunin_p4_1_KAISU_TIKAI)</f>
        <v/>
      </c>
      <c r="G887" s="22"/>
      <c r="H887" s="22"/>
    </row>
    <row r="888" spans="1:8" ht="12">
      <c r="A888" s="64"/>
      <c r="B888" s="137" t="s">
        <v>1679</v>
      </c>
      <c r="C888" s="21" t="s">
        <v>1680</v>
      </c>
      <c r="D888" s="261"/>
      <c r="E888" s="21" t="s">
        <v>1681</v>
      </c>
      <c r="F888" s="261" t="str">
        <f>IF(wskakunin_p4_1_KOUZOU1="", "", wskakunin_p4_1_KOUZOU1)</f>
        <v/>
      </c>
      <c r="G888" s="22"/>
      <c r="H888" s="22"/>
    </row>
    <row r="889" spans="1:8" ht="12">
      <c r="A889" s="64"/>
      <c r="B889" s="137" t="s">
        <v>1682</v>
      </c>
      <c r="C889" s="21" t="s">
        <v>1683</v>
      </c>
      <c r="D889" s="261"/>
      <c r="E889" s="21" t="s">
        <v>1684</v>
      </c>
      <c r="F889" s="261" t="str">
        <f>IF(wskakunin_p4_1_KOUZOU2="", "", wskakunin_p4_1_KOUZOU2)</f>
        <v/>
      </c>
      <c r="G889" s="22"/>
      <c r="H889" s="22"/>
    </row>
    <row r="890" spans="1:8" ht="12">
      <c r="A890" s="64"/>
      <c r="B890" s="137" t="s">
        <v>1685</v>
      </c>
      <c r="C890" s="21" t="s">
        <v>1686</v>
      </c>
      <c r="D890" s="270"/>
      <c r="E890" s="21" t="s">
        <v>1687</v>
      </c>
      <c r="F890" s="261" t="str">
        <f>IF(wskakunin_p4_1_TAKASA_MAX="", "", wskakunin_p4_1_TAKASA_MAX)</f>
        <v/>
      </c>
      <c r="G890" s="22"/>
      <c r="H890" s="22"/>
    </row>
    <row r="891" spans="1:8" ht="12">
      <c r="A891" s="64"/>
      <c r="B891" s="137" t="s">
        <v>1688</v>
      </c>
      <c r="C891" s="21" t="s">
        <v>1689</v>
      </c>
      <c r="D891" s="270"/>
      <c r="E891" s="21" t="s">
        <v>1690</v>
      </c>
      <c r="F891" s="261" t="str">
        <f>IF(wskakunin_p4_1_TAKASA_KEN_MAX="", "", wskakunin_p4_1_TAKASA_KEN_MAX)</f>
        <v/>
      </c>
      <c r="G891" s="22"/>
      <c r="H891" s="22"/>
    </row>
    <row r="892" spans="1:8" ht="12">
      <c r="A892" s="64"/>
      <c r="B892" s="222" t="s">
        <v>1691</v>
      </c>
      <c r="C892" s="21" t="s">
        <v>1692</v>
      </c>
      <c r="D892" s="270"/>
      <c r="E892" s="21" t="s">
        <v>1693</v>
      </c>
      <c r="F892" s="261" t="str">
        <f>IF(wskakunin_p4_1_KAISU_YUKA_MENSEKI_SHINSEI="","",wskakunin_p4_1_KAISU_YUKA_MENSEKI_SHINSEI)</f>
        <v/>
      </c>
      <c r="G892" s="22"/>
      <c r="H892" s="22"/>
    </row>
    <row r="893" spans="1:8" ht="12">
      <c r="A893" s="295"/>
      <c r="B893" s="222" t="s">
        <v>1694</v>
      </c>
      <c r="C893" s="21" t="s">
        <v>1695</v>
      </c>
      <c r="D893" s="270"/>
      <c r="E893" s="21" t="s">
        <v>1696</v>
      </c>
      <c r="F893" s="261" t="str">
        <f>IF(wskakunin_p4_1_TOKUREI_KAKUNIN_FLAG=1,"有","無")</f>
        <v>無</v>
      </c>
      <c r="G893" s="22"/>
      <c r="H893" s="22"/>
    </row>
    <row r="894" spans="1:8" ht="12">
      <c r="A894" s="295"/>
      <c r="B894" s="222"/>
      <c r="D894" s="223"/>
      <c r="E894" s="21" t="s">
        <v>1697</v>
      </c>
      <c r="F894" s="261" t="str">
        <f>IF(cst_wskakunin_p4_1_TOKUREI_KAKUNIN_FLAG="有","■","□")</f>
        <v>□</v>
      </c>
      <c r="G894" s="22"/>
      <c r="H894" s="22"/>
    </row>
    <row r="895" spans="1:8" ht="12">
      <c r="A895" s="295"/>
      <c r="B895" s="222"/>
      <c r="D895" s="223"/>
      <c r="E895" s="21" t="s">
        <v>1698</v>
      </c>
      <c r="F895" s="261" t="str">
        <f>IF(cst_wskakunin_p4_1_TOKUREI_KAKUNIN_FLAG="無","■","□")</f>
        <v>■</v>
      </c>
      <c r="G895" s="22"/>
      <c r="H895" s="22"/>
    </row>
    <row r="896" spans="1:8" ht="12">
      <c r="A896" s="136"/>
      <c r="B896" s="138"/>
      <c r="D896" s="223"/>
      <c r="F896" s="22"/>
      <c r="G896" s="22"/>
      <c r="H896" s="22"/>
    </row>
    <row r="897" spans="1:8" ht="12">
      <c r="A897" s="303"/>
      <c r="B897" s="306" t="s">
        <v>1699</v>
      </c>
      <c r="C897" s="21" t="s">
        <v>1700</v>
      </c>
      <c r="D897" s="270"/>
      <c r="E897" s="21" t="s">
        <v>1701</v>
      </c>
      <c r="F897" s="261" t="str">
        <f>IF(wskakunin_p4_1_p5_1_KAI="","",wskakunin_p4_1_p5_1_KAI)</f>
        <v/>
      </c>
      <c r="G897" s="22"/>
      <c r="H897" s="22"/>
    </row>
    <row r="898" spans="1:8" ht="12">
      <c r="A898" s="304"/>
      <c r="B898" s="307" t="s">
        <v>1702</v>
      </c>
      <c r="C898" s="21" t="s">
        <v>1703</v>
      </c>
      <c r="D898" s="270"/>
      <c r="E898" s="21" t="s">
        <v>1704</v>
      </c>
      <c r="F898" s="261" t="str">
        <f>IF(wskakunin_p4_1_p5_1_P4_MENSEKI_SHINSEI="","",wskakunin_p4_1_p5_1_P4_MENSEKI_SHINSEI)</f>
        <v/>
      </c>
      <c r="G898" s="22"/>
      <c r="H898" s="22"/>
    </row>
    <row r="899" spans="1:8" ht="12">
      <c r="A899" s="304"/>
      <c r="B899" s="307" t="s">
        <v>1705</v>
      </c>
      <c r="C899" s="21" t="s">
        <v>1706</v>
      </c>
      <c r="D899" s="270"/>
      <c r="E899" s="21" t="s">
        <v>1707</v>
      </c>
      <c r="F899" s="261" t="str">
        <f>IF(wskakunin_p4_1_p5_2_KAI="","",wskakunin_p4_1_p5_2_KAI)</f>
        <v/>
      </c>
      <c r="G899" s="22"/>
      <c r="H899" s="22"/>
    </row>
    <row r="900" spans="1:8" ht="12">
      <c r="A900" s="304"/>
      <c r="B900" s="307" t="s">
        <v>1708</v>
      </c>
      <c r="C900" s="21" t="s">
        <v>1709</v>
      </c>
      <c r="D900" s="270"/>
      <c r="E900" s="21" t="s">
        <v>1710</v>
      </c>
      <c r="F900" s="261" t="str">
        <f>IF(wskakunin_p4_1_p5_2_P4_MENSEKI_SHINSEI="","",wskakunin_p4_1_p5_2_P4_MENSEKI_SHINSEI)</f>
        <v/>
      </c>
      <c r="G900" s="22"/>
      <c r="H900" s="22"/>
    </row>
    <row r="901" spans="1:8" ht="12">
      <c r="A901" s="304"/>
      <c r="B901" s="307" t="s">
        <v>1711</v>
      </c>
      <c r="C901" s="21" t="s">
        <v>1712</v>
      </c>
      <c r="D901" s="270"/>
      <c r="E901" s="21" t="s">
        <v>1713</v>
      </c>
      <c r="F901" s="261" t="str">
        <f>IF(wskakunin_p4_1_p5_3_KAI="","",wskakunin_p4_1_p5_3_KAI)</f>
        <v/>
      </c>
      <c r="G901" s="22"/>
      <c r="H901" s="22"/>
    </row>
    <row r="902" spans="1:8" ht="12">
      <c r="A902" s="305"/>
      <c r="B902" s="307" t="s">
        <v>1714</v>
      </c>
      <c r="C902" s="21" t="s">
        <v>1715</v>
      </c>
      <c r="D902" s="270"/>
      <c r="E902" s="21" t="s">
        <v>1716</v>
      </c>
      <c r="F902" s="261" t="str">
        <f>IF(wskakunin_p4_1_p5_3_P4_MENSEKI_SHINSEI="","",wskakunin_p4_1_p5_3_P4_MENSEKI_SHINSEI)</f>
        <v/>
      </c>
      <c r="G902" s="22"/>
      <c r="H902" s="22"/>
    </row>
    <row r="904" spans="1:8" ht="12">
      <c r="A904" s="61" t="s">
        <v>1717</v>
      </c>
      <c r="B904" s="109"/>
      <c r="G904" s="22"/>
      <c r="H904" s="22"/>
    </row>
    <row r="905" spans="1:8" ht="12">
      <c r="A905" s="49" t="s">
        <v>1718</v>
      </c>
      <c r="B905" s="52"/>
      <c r="G905" s="22"/>
      <c r="H905" s="22"/>
    </row>
    <row r="906" spans="1:8" ht="12">
      <c r="A906" s="86"/>
      <c r="B906" s="80" t="s">
        <v>1719</v>
      </c>
      <c r="C906" s="21" t="s">
        <v>1720</v>
      </c>
      <c r="D906" s="162" t="s">
        <v>212</v>
      </c>
      <c r="E906" s="21" t="s">
        <v>1721</v>
      </c>
      <c r="F906" s="162" t="str">
        <f>IF(wskakunin_BUILD__address="", "", wskakunin_BUILD__address)</f>
        <v>大阪府茨木市山手台2-2-2</v>
      </c>
      <c r="G906" s="22"/>
      <c r="H906" s="22"/>
    </row>
    <row r="907" spans="1:8" ht="12">
      <c r="A907" s="86"/>
      <c r="B907" s="159" t="s">
        <v>1722</v>
      </c>
      <c r="C907" s="21" t="s">
        <v>1723</v>
      </c>
      <c r="D907" s="162" t="s">
        <v>1724</v>
      </c>
      <c r="E907" s="21" t="s">
        <v>1725</v>
      </c>
      <c r="F907" s="162" t="str">
        <f>IF(wskakunin_BUILD_KEN__ken="","",wskakunin_BUILD_KEN__ken)</f>
        <v>大阪府</v>
      </c>
      <c r="G907" s="22"/>
      <c r="H907" s="22"/>
    </row>
    <row r="908" spans="1:8" ht="12">
      <c r="A908" s="86"/>
      <c r="B908" s="159" t="s">
        <v>1726</v>
      </c>
      <c r="C908" s="21" t="s">
        <v>1727</v>
      </c>
      <c r="D908" s="162" t="s">
        <v>1728</v>
      </c>
      <c r="E908" s="21" t="s">
        <v>1729</v>
      </c>
      <c r="F908" s="162" t="str">
        <f>IF(wskakunin_BUILD_ADDRESS="","",wskakunin_BUILD_ADDRESS)</f>
        <v>茨木市山手台2-2-2</v>
      </c>
      <c r="G908" s="22"/>
      <c r="H908" s="22"/>
    </row>
    <row r="909" spans="1:8" ht="12">
      <c r="A909" s="87"/>
      <c r="B909" s="88"/>
      <c r="D909" s="22"/>
      <c r="F909" s="22"/>
      <c r="G909" s="22"/>
      <c r="H909" s="22"/>
    </row>
    <row r="910" spans="1:8" ht="12">
      <c r="A910" s="49" t="s">
        <v>1730</v>
      </c>
      <c r="B910" s="52"/>
      <c r="G910" s="22"/>
      <c r="H910" s="22"/>
    </row>
    <row r="911" spans="1:8" ht="12">
      <c r="A911" s="86"/>
      <c r="B911" s="80" t="s">
        <v>210</v>
      </c>
      <c r="C911" s="21" t="s">
        <v>1731</v>
      </c>
      <c r="D911" s="47" t="s">
        <v>1732</v>
      </c>
      <c r="E911" s="21" t="s">
        <v>1733</v>
      </c>
      <c r="F911" s="47" t="str">
        <f>IF(wskakunin_BUILD_JYUKYO__address="","",wskakunin_BUILD_JYUKYO__address)</f>
        <v>大阪府茨木市山手台2-2（以下未定）</v>
      </c>
      <c r="G911" s="22"/>
      <c r="H911" s="22"/>
    </row>
    <row r="912" spans="1:8" ht="12">
      <c r="A912" s="86"/>
      <c r="B912" s="159" t="s">
        <v>1722</v>
      </c>
      <c r="C912" s="21" t="s">
        <v>1734</v>
      </c>
      <c r="D912" s="47" t="s">
        <v>1724</v>
      </c>
      <c r="E912" s="21" t="s">
        <v>1735</v>
      </c>
      <c r="F912" s="47" t="str">
        <f>IF(wskakunin_BUILD_JYUKYO_KEN__ken="","",wskakunin_BUILD_JYUKYO_KEN__ken)</f>
        <v>大阪府</v>
      </c>
      <c r="G912" s="22"/>
      <c r="H912" s="22"/>
    </row>
    <row r="913" spans="1:8" ht="12">
      <c r="A913" s="86"/>
      <c r="B913" s="159" t="s">
        <v>1726</v>
      </c>
      <c r="C913" s="21" t="s">
        <v>1736</v>
      </c>
      <c r="D913" s="162" t="s">
        <v>1737</v>
      </c>
      <c r="E913" s="21" t="s">
        <v>1738</v>
      </c>
      <c r="F913" s="162" t="str">
        <f>IF(wskakunin_BUILD_JYUKYO_ADDRESS="","",wskakunin_BUILD_JYUKYO_ADDRESS)</f>
        <v>茨木市山手台2-2（以下未定）</v>
      </c>
      <c r="G913" s="22"/>
      <c r="H913" s="22"/>
    </row>
    <row r="914" spans="1:8" ht="12">
      <c r="A914" s="87"/>
      <c r="B914" s="88"/>
      <c r="D914" s="22"/>
      <c r="F914" s="22"/>
      <c r="G914" s="22"/>
      <c r="H914" s="22"/>
    </row>
    <row r="915" spans="1:8" ht="12">
      <c r="A915" s="8" t="s">
        <v>1739</v>
      </c>
      <c r="B915" s="52"/>
      <c r="G915" s="22"/>
      <c r="H915" s="22"/>
    </row>
    <row r="916" spans="1:8" ht="12">
      <c r="A916" s="14"/>
      <c r="B916" s="80" t="s">
        <v>1740</v>
      </c>
      <c r="C916" s="21" t="s">
        <v>1741</v>
      </c>
      <c r="D916" s="162" t="s">
        <v>112</v>
      </c>
      <c r="E916" s="21" t="s">
        <v>1742</v>
      </c>
      <c r="F916" s="162" t="str">
        <f>IF(wskakunin_KUIKI_TOSI=1,"■","□")</f>
        <v>□</v>
      </c>
      <c r="H916" s="22"/>
    </row>
    <row r="917" spans="1:8" ht="12">
      <c r="A917" s="14"/>
      <c r="B917" s="80" t="s">
        <v>1743</v>
      </c>
      <c r="C917" s="21" t="s">
        <v>1744</v>
      </c>
      <c r="D917" s="162" t="s">
        <v>112</v>
      </c>
      <c r="E917" s="21" t="s">
        <v>1745</v>
      </c>
      <c r="F917" s="162" t="str">
        <f>IF(wskakunin__kuiki="", "", wskakunin__kuiki)</f>
        <v/>
      </c>
      <c r="G917" s="22"/>
      <c r="H917" s="22"/>
    </row>
    <row r="918" spans="1:8" ht="12">
      <c r="A918" s="239"/>
      <c r="B918" s="80"/>
      <c r="D918" s="22"/>
      <c r="E918" s="21" t="s">
        <v>1746</v>
      </c>
      <c r="F918" s="162" t="str">
        <f>IF(cst_wskakunin__kuiki="都市計画区域内","■","□")</f>
        <v>□</v>
      </c>
      <c r="G918" s="22"/>
      <c r="H918" s="22"/>
    </row>
    <row r="919" spans="1:8" ht="12">
      <c r="A919" s="14"/>
      <c r="B919" s="80" t="s">
        <v>1747</v>
      </c>
      <c r="C919" s="21" t="s">
        <v>1748</v>
      </c>
      <c r="D919" s="162" t="s">
        <v>112</v>
      </c>
      <c r="E919" s="21" t="s">
        <v>1749</v>
      </c>
      <c r="F919" s="162" t="str">
        <f>IF(wskakunin_KUIKI_SIGAIKA=1,"■","□")</f>
        <v>□</v>
      </c>
      <c r="G919" s="22"/>
      <c r="H919" s="22"/>
    </row>
    <row r="920" spans="1:8" ht="12">
      <c r="A920" s="14"/>
      <c r="B920" s="80" t="s">
        <v>1750</v>
      </c>
      <c r="C920" s="21" t="s">
        <v>1751</v>
      </c>
      <c r="D920" s="162" t="s">
        <v>112</v>
      </c>
      <c r="E920" s="21" t="s">
        <v>1752</v>
      </c>
      <c r="F920" s="162" t="str">
        <f>IF(wskakunin__tosi_kuiki="", "", wskakunin__tosi_kuiki)</f>
        <v/>
      </c>
      <c r="G920" s="22"/>
      <c r="H920" s="22"/>
    </row>
    <row r="921" spans="1:8" ht="12">
      <c r="A921" s="14"/>
      <c r="B921" s="80" t="s">
        <v>1753</v>
      </c>
      <c r="C921" s="21" t="s">
        <v>1754</v>
      </c>
      <c r="D921" s="162" t="s">
        <v>112</v>
      </c>
      <c r="E921" s="21" t="s">
        <v>1755</v>
      </c>
      <c r="F921" s="162" t="str">
        <f>IF(wskakunin_KUIKI_TYOSEI=1,"■","□")</f>
        <v>□</v>
      </c>
      <c r="H921" s="22"/>
    </row>
    <row r="922" spans="1:8" ht="12">
      <c r="A922" s="14"/>
      <c r="B922" s="80" t="s">
        <v>1756</v>
      </c>
      <c r="C922" s="21" t="s">
        <v>1757</v>
      </c>
      <c r="D922" s="162" t="s">
        <v>112</v>
      </c>
      <c r="E922" s="21" t="s">
        <v>1758</v>
      </c>
      <c r="F922" s="162" t="str">
        <f>IF(wskakunin_KUIKI_HISETTEI=1,"■","□")</f>
        <v>□</v>
      </c>
      <c r="H922" s="22"/>
    </row>
    <row r="923" spans="1:8" ht="12">
      <c r="A923" s="14"/>
      <c r="B923" s="80" t="s">
        <v>1759</v>
      </c>
      <c r="C923" s="21" t="s">
        <v>1760</v>
      </c>
      <c r="D923" s="162" t="s">
        <v>112</v>
      </c>
      <c r="E923" s="21" t="s">
        <v>1761</v>
      </c>
      <c r="F923" s="162" t="str">
        <f>IF(wskakunin_KUIKI_JYUN_TOSHI=1,"■","□")</f>
        <v>□</v>
      </c>
      <c r="H923" s="22"/>
    </row>
    <row r="924" spans="1:8" ht="12">
      <c r="A924" s="14"/>
      <c r="B924" s="77" t="s">
        <v>1762</v>
      </c>
      <c r="C924" s="21" t="s">
        <v>1763</v>
      </c>
      <c r="D924" s="162" t="s">
        <v>112</v>
      </c>
      <c r="E924" s="21" t="s">
        <v>1764</v>
      </c>
      <c r="F924" s="162" t="str">
        <f>IF(wskakunin_KUIKI_KUIKIGAI=1,"■","□")</f>
        <v>□</v>
      </c>
      <c r="H924" s="22"/>
    </row>
    <row r="925" spans="1:8" ht="12">
      <c r="A925" s="15"/>
      <c r="B925" s="78"/>
      <c r="D925" s="22"/>
      <c r="F925" s="22"/>
      <c r="H925" s="22"/>
    </row>
    <row r="926" spans="1:8" ht="12">
      <c r="A926" s="8" t="s">
        <v>1765</v>
      </c>
      <c r="B926" s="31"/>
      <c r="C926" s="21" t="s">
        <v>1766</v>
      </c>
      <c r="D926" s="162" t="s">
        <v>112</v>
      </c>
      <c r="E926" s="21" t="s">
        <v>1767</v>
      </c>
      <c r="F926" s="162" t="str">
        <f>IF(wskakunin__bouka="", "", wskakunin__bouka)</f>
        <v/>
      </c>
      <c r="H926" s="22"/>
    </row>
    <row r="927" spans="1:8" ht="12">
      <c r="A927" s="14"/>
      <c r="B927" s="74" t="s">
        <v>1768</v>
      </c>
      <c r="C927" s="21" t="s">
        <v>1769</v>
      </c>
      <c r="D927" s="162" t="s">
        <v>112</v>
      </c>
      <c r="E927" s="21" t="s">
        <v>1770</v>
      </c>
      <c r="F927" s="162" t="str">
        <f>IF(wskakunin_BOUKA_BOUKA=1,"■","□")</f>
        <v>□</v>
      </c>
      <c r="H927" s="22"/>
    </row>
    <row r="928" spans="1:8" ht="12">
      <c r="A928" s="14"/>
      <c r="B928" s="74" t="s">
        <v>1771</v>
      </c>
      <c r="C928" s="21" t="s">
        <v>1772</v>
      </c>
      <c r="D928" s="162" t="s">
        <v>112</v>
      </c>
      <c r="E928" s="21" t="s">
        <v>1773</v>
      </c>
      <c r="F928" s="162" t="str">
        <f>IF(wskakunin_BOUKA_JYUN_BOUKA=1,"■","□")</f>
        <v>□</v>
      </c>
      <c r="H928" s="22"/>
    </row>
    <row r="929" spans="1:8" ht="12">
      <c r="A929" s="14"/>
      <c r="B929" s="74" t="s">
        <v>1774</v>
      </c>
      <c r="C929" s="21" t="s">
        <v>1775</v>
      </c>
      <c r="D929" s="162" t="s">
        <v>112</v>
      </c>
      <c r="E929" s="21" t="s">
        <v>1776</v>
      </c>
      <c r="F929" s="162" t="str">
        <f>IF(wskakunin_BOUKA_NASI=1,"■","□")</f>
        <v>□</v>
      </c>
      <c r="H929" s="22"/>
    </row>
    <row r="930" spans="1:8" ht="12">
      <c r="A930" s="14"/>
      <c r="B930" s="74" t="s">
        <v>1777</v>
      </c>
      <c r="C930" s="21" t="s">
        <v>1778</v>
      </c>
      <c r="D930" s="162" t="s">
        <v>112</v>
      </c>
      <c r="E930" s="21" t="s">
        <v>1779</v>
      </c>
      <c r="F930" s="162" t="str">
        <f>IF(wskakunin_BOUKA_22JYO=1,"■","□")</f>
        <v>□</v>
      </c>
      <c r="H930" s="22"/>
    </row>
    <row r="931" spans="1:8" ht="12">
      <c r="A931" s="15"/>
      <c r="B931" s="75"/>
      <c r="D931" s="22"/>
      <c r="F931" s="22"/>
      <c r="H931" s="22"/>
    </row>
    <row r="932" spans="1:8" ht="12">
      <c r="A932" s="8" t="s">
        <v>1780</v>
      </c>
      <c r="B932" s="31"/>
      <c r="C932" s="21" t="s">
        <v>1781</v>
      </c>
      <c r="D932" s="162" t="s">
        <v>112</v>
      </c>
      <c r="E932" s="21" t="s">
        <v>1782</v>
      </c>
      <c r="F932" s="162" t="str">
        <f>IF(wskakunin_SONOTA_KUIKI="","",wskakunin_SONOTA_KUIKI)</f>
        <v/>
      </c>
      <c r="H932" s="22"/>
    </row>
    <row r="933" spans="1:8" ht="12">
      <c r="A933" s="15"/>
      <c r="B933" s="66"/>
      <c r="H933" s="22"/>
    </row>
    <row r="934" spans="1:8" ht="12">
      <c r="A934" s="30" t="s">
        <v>1783</v>
      </c>
      <c r="B934" s="30"/>
      <c r="D934" s="22"/>
      <c r="F934" s="22"/>
      <c r="H934" s="22"/>
    </row>
    <row r="935" spans="1:8" ht="12">
      <c r="A935" s="30"/>
      <c r="B935" s="74" t="s">
        <v>1784</v>
      </c>
      <c r="C935" s="21" t="s">
        <v>1785</v>
      </c>
      <c r="D935" s="272" t="s">
        <v>112</v>
      </c>
      <c r="E935" s="21" t="s">
        <v>1786</v>
      </c>
      <c r="F935" s="272" t="str">
        <f>IF(wskakunin_DOURO_FUKUIN="","",wskakunin_DOURO_FUKUIN)</f>
        <v/>
      </c>
      <c r="H935" s="22"/>
    </row>
    <row r="936" spans="1:8" ht="12">
      <c r="A936" s="30"/>
      <c r="B936" s="74" t="s">
        <v>1787</v>
      </c>
      <c r="C936" s="21" t="s">
        <v>1788</v>
      </c>
      <c r="D936" s="272" t="s">
        <v>112</v>
      </c>
      <c r="E936" s="21" t="s">
        <v>1789</v>
      </c>
      <c r="F936" s="272" t="str">
        <f>IF(wskakunin_DOURO_NAGASA="","",wskakunin_DOURO_NAGASA)</f>
        <v/>
      </c>
      <c r="H936" s="22"/>
    </row>
    <row r="937" spans="1:8" ht="12">
      <c r="A937" s="30"/>
      <c r="B937" s="75"/>
      <c r="D937" s="22"/>
      <c r="F937" s="22"/>
      <c r="H937" s="22"/>
    </row>
    <row r="938" spans="1:8" ht="12">
      <c r="A938" s="70" t="s">
        <v>1790</v>
      </c>
      <c r="B938" s="71"/>
      <c r="D938" s="22"/>
      <c r="F938" s="22"/>
      <c r="H938" s="22"/>
    </row>
    <row r="939" spans="1:8" ht="12">
      <c r="A939" s="48" t="s">
        <v>1791</v>
      </c>
      <c r="B939" s="72"/>
      <c r="D939" s="22"/>
      <c r="F939" s="22"/>
      <c r="H939" s="22"/>
    </row>
    <row r="940" spans="1:8" ht="12">
      <c r="A940" s="14"/>
      <c r="B940" s="74" t="s">
        <v>1792</v>
      </c>
      <c r="C940" s="21" t="s">
        <v>1793</v>
      </c>
      <c r="D940" s="273" t="s">
        <v>112</v>
      </c>
      <c r="E940" s="21" t="s">
        <v>1794</v>
      </c>
      <c r="F940" s="273" t="str">
        <f>IF(wskakunin_SHIKITI_MENSEKI_1A="","",wskakunin_SHIKITI_MENSEKI_1A)</f>
        <v/>
      </c>
      <c r="H940" s="22"/>
    </row>
    <row r="941" spans="1:8" ht="12">
      <c r="A941" s="14"/>
      <c r="B941" s="74" t="s">
        <v>1795</v>
      </c>
      <c r="C941" s="21" t="s">
        <v>1796</v>
      </c>
      <c r="D941" s="273" t="s">
        <v>112</v>
      </c>
      <c r="E941" s="21" t="s">
        <v>1797</v>
      </c>
      <c r="F941" s="273" t="str">
        <f>IF(wskakunin_SHIKITI_MENSEKI_1B="","",wskakunin_SHIKITI_MENSEKI_1B)</f>
        <v/>
      </c>
      <c r="H941" s="22"/>
    </row>
    <row r="942" spans="1:8" ht="12">
      <c r="A942" s="14"/>
      <c r="B942" s="74" t="s">
        <v>1798</v>
      </c>
      <c r="C942" s="21" t="s">
        <v>1799</v>
      </c>
      <c r="D942" s="273" t="s">
        <v>112</v>
      </c>
      <c r="E942" s="21" t="s">
        <v>1800</v>
      </c>
      <c r="F942" s="273" t="str">
        <f>IF(wskakunin_SHIKITI_MENSEKI_1C="","",wskakunin_SHIKITI_MENSEKI_1C)</f>
        <v/>
      </c>
      <c r="H942" s="22"/>
    </row>
    <row r="943" spans="1:8" ht="12">
      <c r="A943" s="14"/>
      <c r="B943" s="74" t="s">
        <v>1801</v>
      </c>
      <c r="C943" s="21" t="s">
        <v>1802</v>
      </c>
      <c r="D943" s="273" t="s">
        <v>112</v>
      </c>
      <c r="E943" s="21" t="s">
        <v>1803</v>
      </c>
      <c r="F943" s="273" t="str">
        <f>IF(wskakunin_SHIKITI_MENSEKI_1D="","",wskakunin_SHIKITI_MENSEKI_1D)</f>
        <v/>
      </c>
      <c r="H943" s="22"/>
    </row>
    <row r="944" spans="1:8" ht="12">
      <c r="A944" s="14"/>
      <c r="B944" s="74" t="s">
        <v>1804</v>
      </c>
      <c r="C944" s="21" t="s">
        <v>1805</v>
      </c>
      <c r="D944" s="273" t="s">
        <v>112</v>
      </c>
      <c r="E944" s="21" t="s">
        <v>1806</v>
      </c>
      <c r="F944" s="273" t="str">
        <f>IF(wskakunin_SHIKITI_MENSEKI_2A="","",wskakunin_SHIKITI_MENSEKI_2A)</f>
        <v/>
      </c>
      <c r="H944" s="22"/>
    </row>
    <row r="945" spans="1:8" ht="12">
      <c r="A945" s="14"/>
      <c r="B945" s="74" t="s">
        <v>1807</v>
      </c>
      <c r="C945" s="21" t="s">
        <v>1808</v>
      </c>
      <c r="D945" s="273" t="s">
        <v>112</v>
      </c>
      <c r="E945" s="21" t="s">
        <v>1809</v>
      </c>
      <c r="F945" s="273" t="str">
        <f>IF(wskakunin_SHIKITI_MENSEKI_2B="","",wskakunin_SHIKITI_MENSEKI_2B)</f>
        <v/>
      </c>
      <c r="H945" s="22"/>
    </row>
    <row r="946" spans="1:8" ht="12">
      <c r="A946" s="14"/>
      <c r="B946" s="74" t="s">
        <v>1810</v>
      </c>
      <c r="C946" s="21" t="s">
        <v>1811</v>
      </c>
      <c r="D946" s="273" t="s">
        <v>112</v>
      </c>
      <c r="E946" s="21" t="s">
        <v>1812</v>
      </c>
      <c r="F946" s="273" t="str">
        <f>IF(wskakunin_SHIKITI_MENSEKI_2C="","",wskakunin_SHIKITI_MENSEKI_2C)</f>
        <v/>
      </c>
      <c r="H946" s="22"/>
    </row>
    <row r="947" spans="1:8" ht="12">
      <c r="A947" s="14"/>
      <c r="B947" s="46" t="s">
        <v>1813</v>
      </c>
      <c r="C947" s="21" t="s">
        <v>1814</v>
      </c>
      <c r="D947" s="273" t="s">
        <v>112</v>
      </c>
      <c r="E947" s="21" t="s">
        <v>1815</v>
      </c>
      <c r="F947" s="273" t="str">
        <f>IF(wskakunin_SHIKITI_MENSEKI_2D="","",wskakunin_SHIKITI_MENSEKI_2D)</f>
        <v/>
      </c>
      <c r="H947" s="22"/>
    </row>
    <row r="948" spans="1:8" ht="12">
      <c r="A948" s="48" t="s">
        <v>1816</v>
      </c>
      <c r="B948" s="72"/>
      <c r="D948" s="22"/>
      <c r="F948" s="22"/>
      <c r="H948" s="22"/>
    </row>
    <row r="949" spans="1:8" ht="12">
      <c r="A949" s="14"/>
      <c r="B949" s="74" t="s">
        <v>1817</v>
      </c>
      <c r="C949" s="21" t="s">
        <v>1818</v>
      </c>
      <c r="D949" s="162" t="s">
        <v>112</v>
      </c>
      <c r="E949" s="21" t="s">
        <v>1819</v>
      </c>
      <c r="F949" s="162" t="str">
        <f>IF(wskakunin_YOUTO_TIIKI_A="", "", wskakunin_YOUTO_TIIKI_A)</f>
        <v/>
      </c>
      <c r="H949" s="22"/>
    </row>
    <row r="950" spans="1:8" ht="12">
      <c r="A950" s="14"/>
      <c r="B950" s="74" t="s">
        <v>1820</v>
      </c>
      <c r="C950" s="21" t="s">
        <v>1821</v>
      </c>
      <c r="D950" s="162" t="s">
        <v>112</v>
      </c>
      <c r="E950" s="21" t="s">
        <v>1822</v>
      </c>
      <c r="F950" s="162" t="str">
        <f>IF(wskakunin_YOUTO_TIIKI_B="","",wskakunin_YOUTO_TIIKI_B)</f>
        <v/>
      </c>
      <c r="H950" s="22"/>
    </row>
    <row r="951" spans="1:8" ht="12">
      <c r="A951" s="14"/>
      <c r="B951" s="74" t="s">
        <v>1823</v>
      </c>
      <c r="C951" s="21" t="s">
        <v>1824</v>
      </c>
      <c r="D951" s="162" t="s">
        <v>112</v>
      </c>
      <c r="E951" s="21" t="s">
        <v>1825</v>
      </c>
      <c r="F951" s="162" t="str">
        <f>IF(wskakunin_YOUTO_TIIKI_C="","",wskakunin_YOUTO_TIIKI_C)</f>
        <v/>
      </c>
      <c r="H951" s="22"/>
    </row>
    <row r="952" spans="1:8" ht="12">
      <c r="A952" s="73"/>
      <c r="B952" s="74" t="s">
        <v>1826</v>
      </c>
      <c r="C952" s="21" t="s">
        <v>1827</v>
      </c>
      <c r="D952" s="162" t="s">
        <v>112</v>
      </c>
      <c r="E952" s="21" t="s">
        <v>1828</v>
      </c>
      <c r="F952" s="162" t="str">
        <f>IF(wskakunin_YOUTO_TIIKI_D="","",wskakunin_YOUTO_TIIKI_D)</f>
        <v/>
      </c>
      <c r="G952" s="21" t="s">
        <v>1829</v>
      </c>
      <c r="H952" s="22"/>
    </row>
    <row r="953" spans="1:8" ht="12">
      <c r="A953" s="48" t="s">
        <v>1830</v>
      </c>
      <c r="B953" s="72"/>
      <c r="D953" s="22"/>
      <c r="F953" s="22"/>
      <c r="H953" s="22"/>
    </row>
    <row r="954" spans="1:8" ht="12">
      <c r="A954" s="14"/>
      <c r="B954" s="74" t="s">
        <v>1817</v>
      </c>
      <c r="C954" s="21" t="s">
        <v>1831</v>
      </c>
      <c r="D954" s="273" t="s">
        <v>112</v>
      </c>
      <c r="E954" s="110" t="s">
        <v>1832</v>
      </c>
      <c r="F954" s="273" t="str">
        <f>IF(wskakunin_YOUSEKI_RITU_A="","",wskakunin_YOUSEKI_RITU_A)</f>
        <v/>
      </c>
      <c r="H954" s="22"/>
    </row>
    <row r="955" spans="1:8" ht="12">
      <c r="A955" s="14"/>
      <c r="B955" s="74" t="s">
        <v>1820</v>
      </c>
      <c r="C955" s="21" t="s">
        <v>1833</v>
      </c>
      <c r="D955" s="273" t="s">
        <v>112</v>
      </c>
      <c r="E955" s="110" t="s">
        <v>1834</v>
      </c>
      <c r="F955" s="273" t="str">
        <f>IF(wskakunin_YOUSEKI_RITU_B="","",wskakunin_YOUSEKI_RITU_B)</f>
        <v/>
      </c>
      <c r="H955" s="22"/>
    </row>
    <row r="956" spans="1:8" ht="12">
      <c r="A956" s="14"/>
      <c r="B956" s="74" t="s">
        <v>1823</v>
      </c>
      <c r="C956" s="21" t="s">
        <v>1835</v>
      </c>
      <c r="D956" s="273" t="s">
        <v>112</v>
      </c>
      <c r="E956" s="110" t="s">
        <v>1836</v>
      </c>
      <c r="F956" s="273" t="str">
        <f>IF(wskakunin_YOUSEKI_RITU_C="","",wskakunin_YOUSEKI_RITU_C)</f>
        <v/>
      </c>
      <c r="H956" s="22"/>
    </row>
    <row r="957" spans="1:8" ht="12">
      <c r="A957" s="73"/>
      <c r="B957" s="74" t="s">
        <v>1826</v>
      </c>
      <c r="C957" s="21" t="s">
        <v>1837</v>
      </c>
      <c r="D957" s="273" t="s">
        <v>112</v>
      </c>
      <c r="E957" s="110" t="s">
        <v>1838</v>
      </c>
      <c r="F957" s="273" t="str">
        <f>IF(wskakunin_YOUSEKI_RITU_D="","",wskakunin_YOUSEKI_RITU_D)</f>
        <v/>
      </c>
      <c r="H957" s="22"/>
    </row>
    <row r="958" spans="1:8" ht="12">
      <c r="A958" s="48" t="s">
        <v>1839</v>
      </c>
      <c r="B958" s="72"/>
      <c r="D958" s="111"/>
      <c r="E958" s="110"/>
      <c r="F958" s="111"/>
      <c r="H958" s="22"/>
    </row>
    <row r="959" spans="1:8" ht="12">
      <c r="A959" s="14"/>
      <c r="B959" s="74" t="s">
        <v>1817</v>
      </c>
      <c r="C959" s="21" t="s">
        <v>1840</v>
      </c>
      <c r="D959" s="273" t="s">
        <v>112</v>
      </c>
      <c r="E959" s="110" t="s">
        <v>1841</v>
      </c>
      <c r="F959" s="273" t="str">
        <f>IF(wskakunin_KENPEI_RITU_A="","",wskakunin_KENPEI_RITU_A)</f>
        <v/>
      </c>
      <c r="H959" s="22"/>
    </row>
    <row r="960" spans="1:8" ht="12">
      <c r="A960" s="14"/>
      <c r="B960" s="74" t="s">
        <v>1820</v>
      </c>
      <c r="C960" s="21" t="s">
        <v>1842</v>
      </c>
      <c r="D960" s="273" t="s">
        <v>112</v>
      </c>
      <c r="E960" s="110" t="s">
        <v>1843</v>
      </c>
      <c r="F960" s="273" t="str">
        <f>IF(wskakunin_KENPEI_RITU_B="","",wskakunin_KENPEI_RITU_B)</f>
        <v/>
      </c>
    </row>
    <row r="961" spans="1:6" ht="12">
      <c r="A961" s="14"/>
      <c r="B961" s="74" t="s">
        <v>1823</v>
      </c>
      <c r="C961" s="21" t="s">
        <v>1844</v>
      </c>
      <c r="D961" s="273" t="s">
        <v>112</v>
      </c>
      <c r="E961" s="110" t="s">
        <v>1845</v>
      </c>
      <c r="F961" s="273" t="str">
        <f>IF(wskakunin_KENPEI_RITU_C="","",wskakunin_KENPEI_RITU_C)</f>
        <v/>
      </c>
    </row>
    <row r="962" spans="1:6" ht="12">
      <c r="A962" s="73"/>
      <c r="B962" s="74" t="s">
        <v>1826</v>
      </c>
      <c r="C962" s="21" t="s">
        <v>1846</v>
      </c>
      <c r="D962" s="273" t="s">
        <v>112</v>
      </c>
      <c r="E962" s="110" t="s">
        <v>1847</v>
      </c>
      <c r="F962" s="273" t="str">
        <f>IF(wskakunin_KENPEI_RITU_D="","",wskakunin_KENPEI_RITU_D)</f>
        <v/>
      </c>
    </row>
    <row r="963" spans="1:6" ht="12">
      <c r="A963" s="14" t="s">
        <v>1848</v>
      </c>
      <c r="B963" s="32"/>
      <c r="D963" s="111"/>
      <c r="E963" s="110"/>
      <c r="F963" s="111"/>
    </row>
    <row r="964" spans="1:6" ht="12">
      <c r="A964" s="14"/>
      <c r="B964" s="74" t="s">
        <v>1849</v>
      </c>
      <c r="C964" s="21" t="s">
        <v>1850</v>
      </c>
      <c r="D964" s="273" t="s">
        <v>112</v>
      </c>
      <c r="E964" s="21" t="s">
        <v>1851</v>
      </c>
      <c r="F964" s="162" t="str">
        <f>IF(wskakunin_SHIKITI_MENSEKI_1_TOTAL="", "", wskakunin_SHIKITI_MENSEKI_1_TOTAL)</f>
        <v/>
      </c>
    </row>
    <row r="965" spans="1:6" ht="12">
      <c r="A965" s="14"/>
      <c r="B965" s="74" t="s">
        <v>1852</v>
      </c>
      <c r="C965" s="21" t="s">
        <v>1853</v>
      </c>
      <c r="D965" s="273" t="s">
        <v>112</v>
      </c>
      <c r="E965" s="110" t="s">
        <v>1854</v>
      </c>
      <c r="F965" s="273" t="str">
        <f>IF(wskakunin_SHIKITI_MENSEKI_2_TOTAL="","",wskakunin_SHIKITI_MENSEKI_2_TOTAL)</f>
        <v/>
      </c>
    </row>
    <row r="966" spans="1:6" ht="12">
      <c r="A966" s="14"/>
      <c r="B966" s="85" t="s">
        <v>1855</v>
      </c>
      <c r="C966" s="21" t="s">
        <v>1856</v>
      </c>
      <c r="D966" s="273" t="s">
        <v>112</v>
      </c>
      <c r="E966" s="110" t="s">
        <v>1857</v>
      </c>
      <c r="F966" s="273" t="str">
        <f>IF(wskakunin_LIMIT_YOUSEKI_RITU="","",wskakunin_LIMIT_YOUSEKI_RITU)</f>
        <v/>
      </c>
    </row>
    <row r="967" spans="1:6" ht="12">
      <c r="A967" s="14"/>
      <c r="B967" s="85" t="s">
        <v>1858</v>
      </c>
      <c r="C967" s="21" t="s">
        <v>1859</v>
      </c>
      <c r="D967" s="273" t="s">
        <v>112</v>
      </c>
      <c r="E967" s="110" t="s">
        <v>1860</v>
      </c>
      <c r="F967" s="273" t="str">
        <f>IF(wskakunin_LIMIT_KENPEI_RITU="","",wskakunin_LIMIT_KENPEI_RITU)</f>
        <v/>
      </c>
    </row>
    <row r="968" spans="1:6" ht="12">
      <c r="A968" s="15"/>
      <c r="B968" s="75" t="s">
        <v>2</v>
      </c>
      <c r="C968" s="21" t="s">
        <v>1861</v>
      </c>
      <c r="D968" s="162" t="s">
        <v>112</v>
      </c>
      <c r="E968" s="21" t="s">
        <v>1862</v>
      </c>
      <c r="F968" s="162" t="str">
        <f>IF(wskakunin_SHIKITI_MENSEKI_BIKOU="","",wskakunin_SHIKITI_MENSEKI_BIKOU)</f>
        <v/>
      </c>
    </row>
    <row r="969" spans="1:6" ht="12">
      <c r="A969" s="49" t="s">
        <v>1863</v>
      </c>
      <c r="B969" s="50"/>
      <c r="D969" s="22"/>
      <c r="F969" s="22"/>
    </row>
    <row r="970" spans="1:6" ht="12">
      <c r="A970" s="86"/>
      <c r="B970" s="131" t="s">
        <v>1864</v>
      </c>
      <c r="C970" s="21" t="s">
        <v>1865</v>
      </c>
      <c r="D970" s="255" t="s">
        <v>112</v>
      </c>
      <c r="E970" s="21" t="s">
        <v>1866</v>
      </c>
      <c r="F970" s="255" t="str">
        <f>IF(wskakunin_YOUTO_CODE="","",wskakunin_YOUTO_CODE)</f>
        <v/>
      </c>
    </row>
    <row r="971" spans="1:6" ht="12">
      <c r="A971" s="86"/>
      <c r="B971" s="131" t="s">
        <v>1650</v>
      </c>
      <c r="C971" s="21" t="s">
        <v>1867</v>
      </c>
      <c r="D971" s="162" t="s">
        <v>112</v>
      </c>
      <c r="E971" s="21" t="s">
        <v>1868</v>
      </c>
      <c r="F971" s="162" t="str">
        <f>IF(wskakunin_YOUTO="", "", wskakunin_YOUTO)</f>
        <v/>
      </c>
    </row>
    <row r="972" spans="1:6" ht="12">
      <c r="A972" s="236"/>
      <c r="B972" s="158" t="s">
        <v>1869</v>
      </c>
      <c r="C972" s="21" t="s">
        <v>1870</v>
      </c>
      <c r="D972" s="162" t="s">
        <v>112</v>
      </c>
      <c r="E972" s="21" t="s">
        <v>1871</v>
      </c>
      <c r="F972" s="162" t="str">
        <f>IF(shinsei_UNIT_COUNT="","",shinsei_UNIT_COUNT)</f>
        <v/>
      </c>
    </row>
    <row r="973" spans="1:6" ht="12">
      <c r="A973" s="236"/>
      <c r="B973" s="300" t="s">
        <v>1872</v>
      </c>
      <c r="D973" s="22"/>
      <c r="E973" s="21" t="s">
        <v>1873</v>
      </c>
      <c r="F973" s="162" t="str">
        <f>IF(cst_wskakunin_YOUTO="一戸建ての住宅","■","□")</f>
        <v>□</v>
      </c>
    </row>
    <row r="974" spans="1:6" ht="12">
      <c r="A974" s="236"/>
      <c r="B974" s="300" t="s">
        <v>1874</v>
      </c>
      <c r="D974" s="22"/>
      <c r="E974" s="21" t="s">
        <v>1875</v>
      </c>
      <c r="F974" s="162" t="str">
        <f>IF(OR(cst_wskakunin_YOUTO="",cst_wskakunin_YOUTO="一戸建ての住宅"),"□","■")</f>
        <v>□</v>
      </c>
    </row>
    <row r="975" spans="1:6" ht="12">
      <c r="A975" s="8" t="s">
        <v>1876</v>
      </c>
      <c r="B975" s="71"/>
      <c r="D975" s="22"/>
      <c r="F975" s="22"/>
    </row>
    <row r="976" spans="1:6" ht="12">
      <c r="A976" s="73"/>
      <c r="B976" s="150" t="s">
        <v>1877</v>
      </c>
      <c r="C976" s="21" t="s">
        <v>1878</v>
      </c>
      <c r="D976" s="162" t="s">
        <v>1879</v>
      </c>
      <c r="E976" s="21" t="s">
        <v>1880</v>
      </c>
      <c r="F976" s="162" t="str">
        <f>IF(wskakunin__kouji="", "", wskakunin__kouji)</f>
        <v>新築</v>
      </c>
    </row>
    <row r="977" spans="1:7" ht="12">
      <c r="A977" s="14"/>
      <c r="B977" s="150" t="s">
        <v>1879</v>
      </c>
      <c r="C977" s="21" t="s">
        <v>1881</v>
      </c>
      <c r="D977" s="162">
        <v>1</v>
      </c>
      <c r="E977" s="21" t="s">
        <v>1882</v>
      </c>
      <c r="F977" s="162" t="str">
        <f>IF(wskakunin_KOUJI_SINTIKU=1,"■","□")</f>
        <v>■</v>
      </c>
    </row>
    <row r="978" spans="1:7" ht="12">
      <c r="A978" s="14"/>
      <c r="B978" s="150" t="s">
        <v>1883</v>
      </c>
      <c r="C978" s="21" t="s">
        <v>1884</v>
      </c>
      <c r="D978" s="162" t="s">
        <v>112</v>
      </c>
      <c r="E978" s="21" t="s">
        <v>1885</v>
      </c>
      <c r="F978" s="162" t="str">
        <f>IF(wskakunin_KOUJI_ZOUTIKU=1,"■","□")</f>
        <v>□</v>
      </c>
    </row>
    <row r="979" spans="1:7" ht="12">
      <c r="A979" s="14"/>
      <c r="B979" s="150" t="s">
        <v>1886</v>
      </c>
      <c r="C979" s="21" t="s">
        <v>1887</v>
      </c>
      <c r="D979" s="162" t="s">
        <v>112</v>
      </c>
      <c r="E979" s="21" t="s">
        <v>1888</v>
      </c>
      <c r="F979" s="162" t="str">
        <f>IF(wskakunin_KOUJI_KAITIKU=1,"■","□")</f>
        <v>□</v>
      </c>
    </row>
    <row r="980" spans="1:7" ht="12">
      <c r="A980" s="14"/>
      <c r="B980" s="150" t="s">
        <v>1889</v>
      </c>
      <c r="C980" s="21" t="s">
        <v>1890</v>
      </c>
      <c r="D980" s="162" t="s">
        <v>112</v>
      </c>
      <c r="E980" s="21" t="s">
        <v>1891</v>
      </c>
      <c r="F980" s="162" t="str">
        <f>IF(wskakunin_KOUJI_ITEN=1,"■","□")</f>
        <v>□</v>
      </c>
    </row>
    <row r="981" spans="1:7" ht="12">
      <c r="A981" s="14"/>
      <c r="B981" s="150" t="s">
        <v>1892</v>
      </c>
      <c r="C981" s="21" t="s">
        <v>1893</v>
      </c>
      <c r="D981" s="162" t="s">
        <v>112</v>
      </c>
      <c r="E981" s="21" t="s">
        <v>1894</v>
      </c>
      <c r="F981" s="162" t="str">
        <f>IF(wskakunin_KOUJI_YOUTOHENKOU=1,"■","□")</f>
        <v>□</v>
      </c>
      <c r="G981" s="21" t="s">
        <v>1895</v>
      </c>
    </row>
    <row r="982" spans="1:7" ht="12">
      <c r="A982" s="14"/>
      <c r="B982" s="150" t="s">
        <v>1896</v>
      </c>
      <c r="C982" s="21" t="s">
        <v>1897</v>
      </c>
      <c r="D982" s="162" t="s">
        <v>112</v>
      </c>
      <c r="E982" s="21" t="s">
        <v>1898</v>
      </c>
      <c r="F982" s="162" t="str">
        <f>IF(wskakunin_KOUJI_DAI_SYUUZEN=1,"■","□")</f>
        <v>□</v>
      </c>
    </row>
    <row r="983" spans="1:7" ht="12">
      <c r="A983" s="14"/>
      <c r="B983" s="150" t="s">
        <v>1899</v>
      </c>
      <c r="C983" s="21" t="s">
        <v>1900</v>
      </c>
      <c r="D983" s="162" t="s">
        <v>112</v>
      </c>
      <c r="E983" s="21" t="s">
        <v>1901</v>
      </c>
      <c r="F983" s="162" t="str">
        <f>IF(wskakunin_KOUJI_DAI_MOYOUGAE=1,"■","□")</f>
        <v>□</v>
      </c>
    </row>
    <row r="984" spans="1:7" ht="12">
      <c r="A984" s="14"/>
      <c r="B984" s="150" t="s">
        <v>1902</v>
      </c>
      <c r="C984" s="21" t="s">
        <v>1903</v>
      </c>
      <c r="D984" s="162"/>
      <c r="E984" s="21" t="s">
        <v>1904</v>
      </c>
      <c r="F984" s="162" t="str">
        <f>IF(wskakuninKOUJI_SETUBI=1,"■","□")</f>
        <v>□</v>
      </c>
      <c r="G984" s="21" t="s">
        <v>1905</v>
      </c>
    </row>
    <row r="985" spans="1:7" ht="12">
      <c r="A985" s="239"/>
      <c r="B985" s="299" t="s">
        <v>1906</v>
      </c>
      <c r="D985" s="22"/>
      <c r="E985" s="21" t="s">
        <v>1907</v>
      </c>
      <c r="F985" s="162" t="str">
        <f>IF(OR(cst_wskakunin_KOUJI_ZOUTIKU_box="■",cst_wskakunin_KOUJI_KAITIKU_box="■"),"■","□")</f>
        <v>□</v>
      </c>
    </row>
    <row r="986" spans="1:7" ht="12">
      <c r="A986" s="73"/>
      <c r="B986" s="150"/>
    </row>
    <row r="987" spans="1:7" ht="12">
      <c r="A987" s="14" t="s">
        <v>1908</v>
      </c>
      <c r="B987" s="146"/>
      <c r="E987" s="164"/>
      <c r="F987" s="164"/>
    </row>
    <row r="988" spans="1:7" ht="12">
      <c r="A988" s="14"/>
      <c r="B988" s="160" t="s">
        <v>1909</v>
      </c>
      <c r="C988" s="21" t="s">
        <v>1910</v>
      </c>
      <c r="D988" s="162"/>
      <c r="E988" s="21" t="s">
        <v>1911</v>
      </c>
      <c r="F988" s="162" t="str">
        <f>IF(wskakunin_gaiyou1_WORK_SYURUI_CODE="","",wskakunin_gaiyou1_WORK_SYURUI_CODE)</f>
        <v/>
      </c>
    </row>
    <row r="989" spans="1:7" ht="12">
      <c r="A989" s="14"/>
      <c r="B989" s="160" t="s">
        <v>1912</v>
      </c>
      <c r="C989" s="21" t="s">
        <v>1913</v>
      </c>
      <c r="D989" s="162"/>
      <c r="E989" s="21" t="s">
        <v>1914</v>
      </c>
      <c r="F989" s="162" t="str">
        <f>IF(wskakunin_gaiyou1_WORK_SYURUI="","",wskakunin_gaiyou1_WORK_SYURUI)</f>
        <v/>
      </c>
    </row>
    <row r="990" spans="1:7" ht="12">
      <c r="A990" s="14"/>
      <c r="B990" s="160" t="s">
        <v>1915</v>
      </c>
      <c r="C990" s="21" t="s">
        <v>1916</v>
      </c>
      <c r="D990" s="162"/>
      <c r="E990" s="21" t="s">
        <v>1917</v>
      </c>
      <c r="F990" s="162" t="str">
        <f>IF(wskakunin_gaiyou1_TAKASA="","",wskakunin_gaiyou1_TAKASA)</f>
        <v/>
      </c>
    </row>
    <row r="991" spans="1:7" ht="12">
      <c r="A991" s="14"/>
      <c r="B991" s="160" t="s">
        <v>1679</v>
      </c>
      <c r="C991" s="21" t="s">
        <v>1918</v>
      </c>
      <c r="D991" s="162"/>
      <c r="E991" s="21" t="s">
        <v>1919</v>
      </c>
      <c r="F991" s="162" t="str">
        <f>IF(wskakunin_gaiyou1_KOUZOU="","",wskakunin_gaiyou1_KOUZOU)</f>
        <v/>
      </c>
    </row>
    <row r="992" spans="1:7" ht="12">
      <c r="A992" s="14"/>
      <c r="B992" s="77" t="s">
        <v>1920</v>
      </c>
      <c r="C992" s="21" t="s">
        <v>1921</v>
      </c>
      <c r="D992" s="47"/>
      <c r="E992" s="21" t="s">
        <v>1922</v>
      </c>
      <c r="F992" s="47" t="str">
        <f>IF(wskakunin_gaiyou1_KOUJI_SINTIKU=1,"■","□")</f>
        <v>□</v>
      </c>
    </row>
    <row r="993" spans="1:6" ht="12">
      <c r="A993" s="14"/>
      <c r="B993" s="77" t="s">
        <v>1923</v>
      </c>
      <c r="C993" s="21" t="s">
        <v>1924</v>
      </c>
      <c r="D993" s="47"/>
      <c r="E993" s="21" t="s">
        <v>1925</v>
      </c>
      <c r="F993" s="47" t="str">
        <f>IF(wskakunin_gaiyou1_KOUJI_ZOUTIKU=1,"■","□")</f>
        <v>□</v>
      </c>
    </row>
    <row r="994" spans="1:6" ht="12">
      <c r="A994" s="14"/>
      <c r="B994" s="77" t="s">
        <v>1926</v>
      </c>
      <c r="C994" s="21" t="s">
        <v>1927</v>
      </c>
      <c r="D994" s="47"/>
      <c r="E994" s="21" t="s">
        <v>1928</v>
      </c>
      <c r="F994" s="47" t="str">
        <f>IF(wskakunin_gaiyou1_KOUJI_KAITIKU=1,"■","□")</f>
        <v>□</v>
      </c>
    </row>
    <row r="995" spans="1:6" ht="12">
      <c r="A995" s="14"/>
      <c r="B995" s="77" t="s">
        <v>1929</v>
      </c>
      <c r="C995" s="21" t="s">
        <v>1930</v>
      </c>
      <c r="D995" s="47"/>
      <c r="E995" s="21" t="s">
        <v>1931</v>
      </c>
      <c r="F995" s="47" t="str">
        <f>IF(wskakunin_gaiyou1_KOUJI_SONOTA=1,"■","□")</f>
        <v>□</v>
      </c>
    </row>
    <row r="996" spans="1:6" ht="12">
      <c r="A996" s="14"/>
      <c r="B996" s="77" t="s">
        <v>1932</v>
      </c>
      <c r="C996" s="21" t="s">
        <v>1933</v>
      </c>
      <c r="D996" s="47"/>
      <c r="E996" s="21" t="s">
        <v>1934</v>
      </c>
      <c r="F996" s="47" t="str">
        <f>IF(wskakunin_gaiyou1_KOUJI_SONOTA_TEXT="","",wskakunin_gaiyou1_KOUJI_SONOTA_TEXT)</f>
        <v/>
      </c>
    </row>
    <row r="997" spans="1:6" ht="12">
      <c r="A997" s="14"/>
      <c r="B997" s="160"/>
      <c r="D997" s="22"/>
      <c r="F997" s="22"/>
    </row>
    <row r="998" spans="1:6" ht="12">
      <c r="A998" s="14"/>
      <c r="B998" s="160" t="s">
        <v>1935</v>
      </c>
      <c r="C998" s="21" t="s">
        <v>1936</v>
      </c>
      <c r="D998" s="162"/>
      <c r="E998" s="21" t="s">
        <v>1937</v>
      </c>
      <c r="F998" s="162" t="str">
        <f>IF(wskakunin_gaiyou1_TIKUZOU_MENSEKI_SHINSEI="","",wskakunin_gaiyou1_TIKUZOU_MENSEKI_SHINSEI)</f>
        <v/>
      </c>
    </row>
    <row r="999" spans="1:6" ht="12">
      <c r="A999" s="14"/>
      <c r="B999" s="160" t="s">
        <v>1938</v>
      </c>
      <c r="C999" s="21" t="s">
        <v>1939</v>
      </c>
      <c r="D999" s="162"/>
      <c r="E999" s="21" t="s">
        <v>1940</v>
      </c>
      <c r="F999" s="162" t="str">
        <f>IF(wskakunin_gaiyou1_TIKUZOU_MENSEKI_IGAI="","",wskakunin_gaiyou1_TIKUZOU_MENSEKI_IGAI)</f>
        <v/>
      </c>
    </row>
    <row r="1000" spans="1:6" ht="12">
      <c r="A1000" s="14"/>
      <c r="B1000" s="160" t="s">
        <v>1941</v>
      </c>
      <c r="C1000" s="21" t="s">
        <v>1942</v>
      </c>
      <c r="D1000" s="162"/>
      <c r="E1000" s="21" t="s">
        <v>1943</v>
      </c>
      <c r="F1000" s="162" t="str">
        <f>IF(wskakunin_gaiyou1_TIKUZOU_MENSEKI_TOTAL="","",wskakunin_gaiyou1_TIKUZOU_MENSEKI_TOTAL)</f>
        <v/>
      </c>
    </row>
    <row r="1001" spans="1:6" ht="12">
      <c r="A1001" s="14"/>
      <c r="B1001" s="160" t="s">
        <v>1944</v>
      </c>
      <c r="C1001" s="21" t="s">
        <v>1945</v>
      </c>
      <c r="D1001" s="162"/>
      <c r="E1001" s="21" t="s">
        <v>1946</v>
      </c>
      <c r="F1001" s="162" t="str">
        <f>IF(wskakunin_gaiyou1_WORK_COUNT_SHINSEI="","",wskakunin_gaiyou1_WORK_COUNT_SHINSEI)</f>
        <v/>
      </c>
    </row>
    <row r="1002" spans="1:6" ht="12">
      <c r="A1002" s="14"/>
      <c r="B1002" s="160" t="s">
        <v>1947</v>
      </c>
      <c r="C1002" s="21" t="s">
        <v>1948</v>
      </c>
      <c r="D1002" s="162"/>
      <c r="E1002" s="21" t="s">
        <v>1949</v>
      </c>
      <c r="F1002" s="162" t="str">
        <f>IF(wskakunin_gaiyou1_WORK_COUNT_IGAI="","",wskakunin_gaiyou1_WORK_COUNT_IGAI)</f>
        <v/>
      </c>
    </row>
    <row r="1003" spans="1:6" ht="12">
      <c r="A1003" s="14"/>
      <c r="B1003" s="160" t="s">
        <v>1950</v>
      </c>
      <c r="C1003" s="21" t="s">
        <v>1951</v>
      </c>
      <c r="D1003" s="162"/>
      <c r="E1003" s="21" t="s">
        <v>1952</v>
      </c>
      <c r="F1003" s="162" t="str">
        <f>IF(wskakunin_gaiyou1_WORK_COUNT_TOTAL="","",wskakunin_gaiyou1_WORK_COUNT_TOTAL)</f>
        <v/>
      </c>
    </row>
    <row r="1004" spans="1:6" ht="12">
      <c r="A1004" s="147"/>
      <c r="B1004" s="151"/>
      <c r="D1004" s="22"/>
    </row>
    <row r="1005" spans="1:6" ht="12">
      <c r="A1005" s="14" t="s">
        <v>1953</v>
      </c>
      <c r="B1005" s="146"/>
      <c r="D1005" s="22"/>
    </row>
    <row r="1006" spans="1:6" ht="12">
      <c r="A1006" s="14"/>
      <c r="B1006" s="160" t="s">
        <v>1954</v>
      </c>
      <c r="C1006" s="21" t="s">
        <v>1955</v>
      </c>
      <c r="D1006" s="162"/>
      <c r="E1006" s="21" t="s">
        <v>1956</v>
      </c>
      <c r="F1006" s="162" t="str">
        <f>IF(wskakunin_gaiyou1_NO="","",wskakunin_gaiyou1_NO)</f>
        <v/>
      </c>
    </row>
    <row r="1007" spans="1:6" ht="12">
      <c r="A1007" s="14"/>
      <c r="B1007" s="160" t="s">
        <v>1957</v>
      </c>
      <c r="C1007" s="21" t="s">
        <v>1958</v>
      </c>
      <c r="D1007" s="162"/>
      <c r="E1007" s="21" t="s">
        <v>1959</v>
      </c>
      <c r="F1007" s="162" t="str">
        <f>IF(wskakunin_gaiyou1_EV_KIND="","",wskakunin_gaiyou1_EV_KIND)</f>
        <v/>
      </c>
    </row>
    <row r="1008" spans="1:6" ht="12">
      <c r="A1008" s="14"/>
      <c r="B1008" s="160" t="s">
        <v>1960</v>
      </c>
      <c r="C1008" s="21" t="s">
        <v>1961</v>
      </c>
      <c r="D1008" s="162"/>
      <c r="E1008" s="21" t="s">
        <v>1962</v>
      </c>
      <c r="F1008" s="162" t="str">
        <f>IF(wskakunin_gaiyou1_YOUTO="","",wskakunin_gaiyou1_YOUTO)</f>
        <v/>
      </c>
    </row>
    <row r="1009" spans="1:6" ht="12">
      <c r="A1009" s="14"/>
      <c r="B1009" s="160" t="s">
        <v>1963</v>
      </c>
      <c r="C1009" s="21" t="s">
        <v>1964</v>
      </c>
      <c r="D1009" s="162"/>
      <c r="E1009" s="21" t="s">
        <v>1965</v>
      </c>
      <c r="F1009" s="162" t="str">
        <f>IF(wskakunin_gaiyou1_SEKISAI="","",wskakunin_gaiyou1_SEKISAI)</f>
        <v/>
      </c>
    </row>
    <row r="1010" spans="1:6" ht="12">
      <c r="A1010" s="14"/>
      <c r="B1010" s="160" t="s">
        <v>1966</v>
      </c>
      <c r="C1010" s="21" t="s">
        <v>1967</v>
      </c>
      <c r="D1010" s="162"/>
      <c r="E1010" s="21" t="s">
        <v>1968</v>
      </c>
      <c r="F1010" s="162" t="str">
        <f>IF(wskakunin_gaiyou1_TEIIN="","",wskakunin_gaiyou1_TEIIN)</f>
        <v/>
      </c>
    </row>
    <row r="1011" spans="1:6" ht="12">
      <c r="A1011" s="14"/>
      <c r="B1011" s="160" t="s">
        <v>1969</v>
      </c>
      <c r="C1011" s="21" t="s">
        <v>1970</v>
      </c>
      <c r="D1011" s="162"/>
      <c r="E1011" s="21" t="s">
        <v>1971</v>
      </c>
      <c r="F1011" s="162" t="str">
        <f>IF(wskakunin_gaiyou1_SPEED="","",wskakunin_gaiyou1_SPEED)</f>
        <v/>
      </c>
    </row>
    <row r="1012" spans="1:6" ht="12">
      <c r="A1012" s="14"/>
      <c r="B1012" s="160" t="s">
        <v>1972</v>
      </c>
      <c r="C1012" s="21" t="s">
        <v>1973</v>
      </c>
      <c r="D1012" s="162"/>
      <c r="E1012" s="21" t="s">
        <v>1974</v>
      </c>
      <c r="F1012" s="162" t="str">
        <f>IF(wskakunin_gaiyou1_SONOTA="","",wskakunin_gaiyou1_SONOTA)</f>
        <v/>
      </c>
    </row>
    <row r="1013" spans="1:6" ht="12">
      <c r="A1013" s="14"/>
      <c r="B1013" s="160" t="s">
        <v>1975</v>
      </c>
      <c r="C1013" s="21" t="s">
        <v>1976</v>
      </c>
      <c r="D1013" s="162"/>
      <c r="E1013" s="21" t="s">
        <v>1977</v>
      </c>
      <c r="F1013" s="162" t="str">
        <f>IF(wskakunin_gaiyou1_NINSYOU_NO="","",wskakunin_gaiyou1_NINSYOU_NO)</f>
        <v/>
      </c>
    </row>
    <row r="1014" spans="1:6" ht="12">
      <c r="A1014" s="14"/>
      <c r="B1014" s="160" t="s">
        <v>1978</v>
      </c>
      <c r="C1014" s="21" t="s">
        <v>1979</v>
      </c>
      <c r="D1014" s="162"/>
      <c r="E1014" s="21" t="s">
        <v>1980</v>
      </c>
      <c r="F1014" s="162" t="str">
        <f>IF(wskakunin_gaiyou1_SONOTA_and_NINSYOU_NO="","",wskakunin_gaiyou1_SONOTA_and_NINSYOU_NO)</f>
        <v/>
      </c>
    </row>
    <row r="1015" spans="1:6" ht="12">
      <c r="A1015" s="14"/>
      <c r="B1015" s="151"/>
      <c r="D1015" s="22"/>
    </row>
    <row r="1016" spans="1:6" ht="12">
      <c r="A1016" s="8" t="s">
        <v>1981</v>
      </c>
      <c r="B1016" s="31"/>
      <c r="D1016" s="22"/>
      <c r="F1016" s="22"/>
    </row>
    <row r="1017" spans="1:6" ht="12">
      <c r="A1017" s="14"/>
      <c r="B1017" s="150" t="s">
        <v>1982</v>
      </c>
      <c r="C1017" s="21" t="s">
        <v>1983</v>
      </c>
      <c r="D1017" s="274" t="s">
        <v>112</v>
      </c>
      <c r="E1017" s="21" t="s">
        <v>1984</v>
      </c>
      <c r="F1017" s="274" t="str">
        <f>IF(wskakunin_KENTIKU_MENSEKI_SHINSEI="", "", wskakunin_KENTIKU_MENSEKI_SHINSEI)</f>
        <v/>
      </c>
    </row>
    <row r="1018" spans="1:6" ht="12">
      <c r="A1018" s="14"/>
      <c r="B1018" s="150" t="s">
        <v>1985</v>
      </c>
      <c r="C1018" s="21" t="s">
        <v>1986</v>
      </c>
      <c r="D1018" s="274" t="s">
        <v>112</v>
      </c>
      <c r="E1018" s="21" t="s">
        <v>1987</v>
      </c>
      <c r="F1018" s="274" t="str">
        <f>IF(wskakunin_KENTIKU_MENSEKI_IGAI="","",wskakunin_KENTIKU_MENSEKI_IGAI)</f>
        <v/>
      </c>
    </row>
    <row r="1019" spans="1:6" ht="12">
      <c r="A1019" s="14"/>
      <c r="B1019" s="150" t="s">
        <v>1988</v>
      </c>
      <c r="C1019" s="21" t="s">
        <v>1989</v>
      </c>
      <c r="D1019" s="274" t="s">
        <v>112</v>
      </c>
      <c r="E1019" s="21" t="s">
        <v>1990</v>
      </c>
      <c r="F1019" s="274" t="str">
        <f>IF(wskakunin_KENTIKU_MENSEKI_TOTAL="","",wskakunin_KENTIKU_MENSEKI_TOTAL)</f>
        <v/>
      </c>
    </row>
    <row r="1020" spans="1:6" ht="12">
      <c r="A1020" s="14"/>
      <c r="B1020" s="150" t="s">
        <v>1839</v>
      </c>
      <c r="C1020" s="21" t="s">
        <v>1991</v>
      </c>
      <c r="D1020" s="274" t="s">
        <v>112</v>
      </c>
      <c r="E1020" s="21" t="s">
        <v>1992</v>
      </c>
      <c r="F1020" s="274" t="str">
        <f>IF(wskakunin_KENPEI_RITU="","",wskakunin_KENPEI_RITU)</f>
        <v/>
      </c>
    </row>
    <row r="1021" spans="1:6" ht="12">
      <c r="A1021" s="147"/>
      <c r="B1021" s="151"/>
    </row>
    <row r="1022" spans="1:6" ht="12">
      <c r="A1022" s="70" t="s">
        <v>1993</v>
      </c>
      <c r="B1022" s="71"/>
      <c r="D1022" s="22"/>
      <c r="F1022" s="22"/>
    </row>
    <row r="1023" spans="1:6" ht="12">
      <c r="A1023" s="14" t="s">
        <v>1994</v>
      </c>
      <c r="B1023" s="146"/>
      <c r="D1023" s="22"/>
      <c r="F1023" s="22"/>
    </row>
    <row r="1024" spans="1:6" ht="12">
      <c r="A1024" s="14"/>
      <c r="B1024" s="150" t="s">
        <v>1982</v>
      </c>
      <c r="C1024" s="21" t="s">
        <v>1995</v>
      </c>
      <c r="D1024" s="273" t="s">
        <v>112</v>
      </c>
      <c r="E1024" s="21" t="s">
        <v>1996</v>
      </c>
      <c r="F1024" s="273" t="str">
        <f>IF(wskakunin_NOBE_MENSEKI_BUILD_SHINSEI="", "", wskakunin_NOBE_MENSEKI_BUILD_SHINSEI)</f>
        <v/>
      </c>
    </row>
    <row r="1025" spans="1:6" ht="12">
      <c r="A1025" s="14"/>
      <c r="B1025" s="150" t="s">
        <v>1985</v>
      </c>
      <c r="C1025" s="21" t="s">
        <v>1997</v>
      </c>
      <c r="D1025" s="273" t="s">
        <v>112</v>
      </c>
      <c r="E1025" s="21" t="s">
        <v>1998</v>
      </c>
      <c r="F1025" s="273" t="str">
        <f>IF(wskakunin_NOBE_MENSEKI_BUILD_IGAI="","",wskakunin_NOBE_MENSEKI_BUILD_IGAI)</f>
        <v/>
      </c>
    </row>
    <row r="1026" spans="1:6" ht="12">
      <c r="A1026" s="14"/>
      <c r="B1026" s="150" t="s">
        <v>1988</v>
      </c>
      <c r="C1026" s="21" t="s">
        <v>1999</v>
      </c>
      <c r="D1026" s="273" t="s">
        <v>112</v>
      </c>
      <c r="E1026" s="21" t="s">
        <v>2000</v>
      </c>
      <c r="F1026" s="273" t="str">
        <f>IF(wskakunin_NOBE_MENSEKI_BUILD_TOTAL="","",wskakunin_NOBE_MENSEKI_BUILD_TOTAL)</f>
        <v/>
      </c>
    </row>
    <row r="1027" spans="1:6" ht="12">
      <c r="A1027" s="14"/>
      <c r="B1027" s="160"/>
      <c r="D1027" s="111"/>
      <c r="F1027" s="111"/>
    </row>
    <row r="1028" spans="1:6" ht="12">
      <c r="A1028" s="148" t="s">
        <v>2001</v>
      </c>
      <c r="B1028" s="149"/>
      <c r="D1028" s="111"/>
      <c r="F1028" s="111"/>
    </row>
    <row r="1029" spans="1:6" ht="12">
      <c r="A1029" s="14"/>
      <c r="B1029" s="150" t="s">
        <v>1982</v>
      </c>
      <c r="C1029" s="21" t="s">
        <v>2002</v>
      </c>
      <c r="D1029" s="273" t="s">
        <v>112</v>
      </c>
      <c r="E1029" s="21" t="s">
        <v>2003</v>
      </c>
      <c r="F1029" s="273" t="str">
        <f>IF(wskakunin_NOBE_MENSEKI_TIKAI_SHINSEI="","",wskakunin_NOBE_MENSEKI_TIKAI_SHINSEI)</f>
        <v/>
      </c>
    </row>
    <row r="1030" spans="1:6" ht="12">
      <c r="A1030" s="14"/>
      <c r="B1030" s="150" t="s">
        <v>1985</v>
      </c>
      <c r="C1030" s="21" t="s">
        <v>2004</v>
      </c>
      <c r="D1030" s="273" t="s">
        <v>112</v>
      </c>
      <c r="E1030" s="21" t="s">
        <v>2005</v>
      </c>
      <c r="F1030" s="273" t="str">
        <f>IF(wskakunin_NOBE_MENSEKI_TIKAI_IGAI="","",wskakunin_NOBE_MENSEKI_TIKAI_IGAI)</f>
        <v/>
      </c>
    </row>
    <row r="1031" spans="1:6" ht="12">
      <c r="A1031" s="14"/>
      <c r="B1031" s="150" t="s">
        <v>1988</v>
      </c>
      <c r="C1031" s="21" t="s">
        <v>2006</v>
      </c>
      <c r="D1031" s="273" t="s">
        <v>112</v>
      </c>
      <c r="E1031" s="21" t="s">
        <v>2007</v>
      </c>
      <c r="F1031" s="273" t="str">
        <f>IF(wskakunin_NOBE_MENSEKI_TIKAI_TOTAL="","",wskakunin_NOBE_MENSEKI_TIKAI_TOTAL)</f>
        <v/>
      </c>
    </row>
    <row r="1032" spans="1:6" ht="12">
      <c r="A1032" s="73"/>
      <c r="B1032" s="150"/>
      <c r="D1032" s="111"/>
      <c r="F1032" s="111"/>
    </row>
    <row r="1033" spans="1:6" ht="12">
      <c r="A1033" s="148" t="s">
        <v>2008</v>
      </c>
      <c r="B1033" s="149"/>
      <c r="D1033" s="111"/>
      <c r="F1033" s="111"/>
    </row>
    <row r="1034" spans="1:6" ht="12">
      <c r="A1034" s="14"/>
      <c r="B1034" s="150" t="s">
        <v>1982</v>
      </c>
      <c r="C1034" s="21" t="s">
        <v>2009</v>
      </c>
      <c r="D1034" s="273" t="s">
        <v>112</v>
      </c>
      <c r="E1034" s="21" t="s">
        <v>2010</v>
      </c>
      <c r="F1034" s="273" t="str">
        <f>IF(wskakunin_NOBE_MENSEKI_SYOUKOURO_SHINSEI="","",wskakunin_NOBE_MENSEKI_SYOUKOURO_SHINSEI)</f>
        <v/>
      </c>
    </row>
    <row r="1035" spans="1:6" ht="12">
      <c r="A1035" s="14"/>
      <c r="B1035" s="150" t="s">
        <v>1985</v>
      </c>
      <c r="C1035" s="21" t="s">
        <v>2011</v>
      </c>
      <c r="D1035" s="273" t="s">
        <v>112</v>
      </c>
      <c r="E1035" s="21" t="s">
        <v>2012</v>
      </c>
      <c r="F1035" s="273" t="str">
        <f>IF(wskakunin_NOBE_MENSEKI_SYOUKOURO_IGAI="","",wskakunin_NOBE_MENSEKI_SYOUKOURO_IGAI)</f>
        <v/>
      </c>
    </row>
    <row r="1036" spans="1:6" ht="12">
      <c r="A1036" s="14"/>
      <c r="B1036" s="150" t="s">
        <v>1988</v>
      </c>
      <c r="C1036" s="21" t="s">
        <v>2013</v>
      </c>
      <c r="D1036" s="273" t="s">
        <v>112</v>
      </c>
      <c r="E1036" s="21" t="s">
        <v>2014</v>
      </c>
      <c r="F1036" s="273" t="str">
        <f>IF(wskakunin_NOBE_MENSEKI_SYOUKOURO_TOTAL="","",wskakunin_NOBE_MENSEKI_SYOUKOURO_TOTAL)</f>
        <v/>
      </c>
    </row>
    <row r="1037" spans="1:6" ht="12">
      <c r="A1037" s="73"/>
      <c r="B1037" s="150"/>
      <c r="D1037" s="111"/>
      <c r="F1037" s="111"/>
    </row>
    <row r="1038" spans="1:6" ht="12">
      <c r="A1038" s="148" t="s">
        <v>2015</v>
      </c>
      <c r="B1038" s="149"/>
      <c r="D1038" s="111"/>
      <c r="F1038" s="111"/>
    </row>
    <row r="1039" spans="1:6" ht="12">
      <c r="A1039" s="14"/>
      <c r="B1039" s="150" t="s">
        <v>1982</v>
      </c>
      <c r="C1039" s="21" t="s">
        <v>2016</v>
      </c>
      <c r="D1039" s="273" t="s">
        <v>112</v>
      </c>
      <c r="E1039" s="21" t="s">
        <v>2017</v>
      </c>
      <c r="F1039" s="273" t="str">
        <f>IF(wskakunin_NOBE_MENSEKI_KYOYOU_SHINSEI="","",wskakunin_NOBE_MENSEKI_KYOYOU_SHINSEI)</f>
        <v/>
      </c>
    </row>
    <row r="1040" spans="1:6" ht="12">
      <c r="A1040" s="14"/>
      <c r="B1040" s="150" t="s">
        <v>1985</v>
      </c>
      <c r="C1040" s="21" t="s">
        <v>2018</v>
      </c>
      <c r="D1040" s="273" t="s">
        <v>112</v>
      </c>
      <c r="E1040" s="21" t="s">
        <v>2019</v>
      </c>
      <c r="F1040" s="273" t="str">
        <f>IF(wskakunin_NOBE_MENSEKI_KYOYOU_IGAI="","",wskakunin_NOBE_MENSEKI_KYOYOU_IGAI)</f>
        <v/>
      </c>
    </row>
    <row r="1041" spans="1:6" ht="12">
      <c r="A1041" s="14"/>
      <c r="B1041" s="150" t="s">
        <v>1988</v>
      </c>
      <c r="C1041" s="21" t="s">
        <v>2020</v>
      </c>
      <c r="D1041" s="273" t="s">
        <v>112</v>
      </c>
      <c r="E1041" s="21" t="s">
        <v>2021</v>
      </c>
      <c r="F1041" s="273" t="str">
        <f>IF(wskakunin_NOBE_MENSEKI_KYOYOU_TOTAL="","",wskakunin_NOBE_MENSEKI_KYOYOU_TOTAL)</f>
        <v/>
      </c>
    </row>
    <row r="1042" spans="1:6" ht="12">
      <c r="A1042" s="73"/>
      <c r="B1042" s="150"/>
      <c r="D1042" s="111"/>
      <c r="F1042" s="111"/>
    </row>
    <row r="1043" spans="1:6" ht="12">
      <c r="A1043" s="148" t="s">
        <v>2022</v>
      </c>
      <c r="B1043" s="149"/>
      <c r="D1043" s="111"/>
      <c r="F1043" s="111"/>
    </row>
    <row r="1044" spans="1:6" ht="12">
      <c r="A1044" s="14"/>
      <c r="B1044" s="150" t="s">
        <v>1982</v>
      </c>
      <c r="C1044" s="21" t="s">
        <v>2023</v>
      </c>
      <c r="D1044" s="273" t="s">
        <v>112</v>
      </c>
      <c r="E1044" s="21" t="s">
        <v>2024</v>
      </c>
      <c r="F1044" s="273" t="str">
        <f>IF(wskakunin_NOBE_MENSEKI_SYAKO_SHINSEI="","",wskakunin_NOBE_MENSEKI_SYAKO_SHINSEI)</f>
        <v/>
      </c>
    </row>
    <row r="1045" spans="1:6" ht="12">
      <c r="A1045" s="14"/>
      <c r="B1045" s="150" t="s">
        <v>1985</v>
      </c>
      <c r="C1045" s="21" t="s">
        <v>2025</v>
      </c>
      <c r="D1045" s="273" t="s">
        <v>112</v>
      </c>
      <c r="E1045" s="21" t="s">
        <v>2026</v>
      </c>
      <c r="F1045" s="273" t="str">
        <f>IF(wskakunin_NOBE_MENSEKI_SYAKO_IGAI="","",wskakunin_NOBE_MENSEKI_SYAKO_IGAI)</f>
        <v/>
      </c>
    </row>
    <row r="1046" spans="1:6" ht="12">
      <c r="A1046" s="14"/>
      <c r="B1046" s="150" t="s">
        <v>1988</v>
      </c>
      <c r="C1046" s="21" t="s">
        <v>2027</v>
      </c>
      <c r="D1046" s="273" t="s">
        <v>112</v>
      </c>
      <c r="E1046" s="21" t="s">
        <v>2028</v>
      </c>
      <c r="F1046" s="273" t="str">
        <f>IF(wskakunin_NOBE_MENSEKI_SYAKO_TOTAL="","",wskakunin_NOBE_MENSEKI_SYAKO_TOTAL)</f>
        <v/>
      </c>
    </row>
    <row r="1047" spans="1:6" ht="12">
      <c r="A1047" s="73"/>
      <c r="B1047" s="150"/>
      <c r="D1047" s="111"/>
      <c r="F1047" s="111"/>
    </row>
    <row r="1048" spans="1:6" ht="12">
      <c r="A1048" s="148" t="s">
        <v>2029</v>
      </c>
      <c r="B1048" s="149"/>
      <c r="D1048" s="111"/>
      <c r="F1048" s="111"/>
    </row>
    <row r="1049" spans="1:6" ht="12">
      <c r="A1049" s="14"/>
      <c r="B1049" s="150" t="s">
        <v>1982</v>
      </c>
      <c r="C1049" s="21" t="s">
        <v>2030</v>
      </c>
      <c r="D1049" s="273" t="s">
        <v>112</v>
      </c>
      <c r="E1049" s="21" t="s">
        <v>2031</v>
      </c>
      <c r="F1049" s="273" t="str">
        <f>IF(wskakunin_NOBE_MENSEKI_BITIKUSOUKO_SHINSEI="","",wskakunin_NOBE_MENSEKI_BITIKUSOUKO_SHINSEI)</f>
        <v/>
      </c>
    </row>
    <row r="1050" spans="1:6" ht="12">
      <c r="A1050" s="14"/>
      <c r="B1050" s="150" t="s">
        <v>1985</v>
      </c>
      <c r="C1050" s="21" t="s">
        <v>2032</v>
      </c>
      <c r="D1050" s="273" t="s">
        <v>112</v>
      </c>
      <c r="E1050" s="21" t="s">
        <v>2033</v>
      </c>
      <c r="F1050" s="273" t="str">
        <f>IF(wskakunin_NOBE_MENSEKI_BITIKUSOUKO_IGAI="","",wskakunin_NOBE_MENSEKI_BITIKUSOUKO_IGAI)</f>
        <v/>
      </c>
    </row>
    <row r="1051" spans="1:6" ht="12">
      <c r="A1051" s="14"/>
      <c r="B1051" s="150" t="s">
        <v>1988</v>
      </c>
      <c r="C1051" s="21" t="s">
        <v>2034</v>
      </c>
      <c r="D1051" s="273" t="s">
        <v>112</v>
      </c>
      <c r="E1051" s="21" t="s">
        <v>2035</v>
      </c>
      <c r="F1051" s="273" t="str">
        <f>IF(wskakunin_NOBE_MENSEKI_BITIKUSOUKO_TOTAL="","",wskakunin_NOBE_MENSEKI_BITIKUSOUKO_TOTAL)</f>
        <v/>
      </c>
    </row>
    <row r="1052" spans="1:6" ht="12">
      <c r="A1052" s="73"/>
      <c r="B1052" s="150"/>
      <c r="D1052" s="111"/>
      <c r="F1052" s="111"/>
    </row>
    <row r="1053" spans="1:6" ht="12">
      <c r="A1053" s="148" t="s">
        <v>2036</v>
      </c>
      <c r="B1053" s="149"/>
      <c r="D1053" s="111"/>
      <c r="F1053" s="111"/>
    </row>
    <row r="1054" spans="1:6" ht="12">
      <c r="A1054" s="14"/>
      <c r="B1054" s="150" t="s">
        <v>1982</v>
      </c>
      <c r="C1054" s="21" t="s">
        <v>2037</v>
      </c>
      <c r="D1054" s="273" t="s">
        <v>112</v>
      </c>
      <c r="E1054" s="21" t="s">
        <v>2038</v>
      </c>
      <c r="F1054" s="273" t="str">
        <f>IF(wskakunin_NOBE_MENSEKI_TIKUDENTI_SHINSEI="","",wskakunin_NOBE_MENSEKI_TIKUDENTI_SHINSEI)</f>
        <v/>
      </c>
    </row>
    <row r="1055" spans="1:6" ht="12">
      <c r="A1055" s="14"/>
      <c r="B1055" s="150" t="s">
        <v>1985</v>
      </c>
      <c r="C1055" s="21" t="s">
        <v>2039</v>
      </c>
      <c r="D1055" s="273" t="s">
        <v>112</v>
      </c>
      <c r="E1055" s="21" t="s">
        <v>2040</v>
      </c>
      <c r="F1055" s="273" t="str">
        <f>IF(wskakunin_NOBE_MENSEKI_TIKUDENTI_IGAI="","",wskakunin_NOBE_MENSEKI_TIKUDENTI_IGAI)</f>
        <v/>
      </c>
    </row>
    <row r="1056" spans="1:6" ht="12">
      <c r="A1056" s="14"/>
      <c r="B1056" s="150" t="s">
        <v>1988</v>
      </c>
      <c r="C1056" s="21" t="s">
        <v>2041</v>
      </c>
      <c r="D1056" s="273" t="s">
        <v>112</v>
      </c>
      <c r="E1056" s="21" t="s">
        <v>2042</v>
      </c>
      <c r="F1056" s="273" t="str">
        <f>IF(wskakunin_NOBE_MENSEKI_TIKUDENTI_TOTAL="","",wskakunin_NOBE_MENSEKI_TIKUDENTI_TOTAL)</f>
        <v/>
      </c>
    </row>
    <row r="1057" spans="1:7" ht="12">
      <c r="A1057" s="73"/>
      <c r="B1057" s="150"/>
      <c r="D1057" s="111"/>
      <c r="F1057" s="111"/>
    </row>
    <row r="1058" spans="1:7" ht="12">
      <c r="A1058" s="148" t="s">
        <v>2043</v>
      </c>
      <c r="B1058" s="149"/>
      <c r="D1058" s="111"/>
      <c r="F1058" s="111"/>
    </row>
    <row r="1059" spans="1:7" ht="12">
      <c r="A1059" s="14"/>
      <c r="B1059" s="150" t="s">
        <v>1982</v>
      </c>
      <c r="C1059" s="21" t="s">
        <v>2044</v>
      </c>
      <c r="D1059" s="273" t="s">
        <v>112</v>
      </c>
      <c r="E1059" s="21" t="s">
        <v>2045</v>
      </c>
      <c r="F1059" s="273" t="str">
        <f>IF(wskakunin_NOBE_MENSEKI_JIKAHATUDEN_SHINSEI="","",wskakunin_NOBE_MENSEKI_JIKAHATUDEN_SHINSEI)</f>
        <v/>
      </c>
    </row>
    <row r="1060" spans="1:7" ht="12">
      <c r="A1060" s="14"/>
      <c r="B1060" s="150" t="s">
        <v>1985</v>
      </c>
      <c r="C1060" s="21" t="s">
        <v>2046</v>
      </c>
      <c r="D1060" s="273" t="s">
        <v>112</v>
      </c>
      <c r="E1060" s="21" t="s">
        <v>2047</v>
      </c>
      <c r="F1060" s="273" t="str">
        <f>IF(wskakunin_NOBE_MENSEKI_JIKAHATUDEN_IGAI="","",wskakunin_NOBE_MENSEKI_JIKAHATUDEN_IGAI)</f>
        <v/>
      </c>
      <c r="G1060" s="21" t="s">
        <v>1829</v>
      </c>
    </row>
    <row r="1061" spans="1:7" ht="12">
      <c r="A1061" s="14"/>
      <c r="B1061" s="150" t="s">
        <v>1988</v>
      </c>
      <c r="C1061" s="21" t="s">
        <v>2048</v>
      </c>
      <c r="D1061" s="273" t="s">
        <v>112</v>
      </c>
      <c r="E1061" s="21" t="s">
        <v>2049</v>
      </c>
      <c r="F1061" s="273" t="str">
        <f>IF(wskakunin_NOBE_MENSEKI_JIKAHATUDEN_TOTAL="","",wskakunin_NOBE_MENSEKI_JIKAHATUDEN_TOTAL)</f>
        <v/>
      </c>
      <c r="G1061" s="21" t="s">
        <v>2050</v>
      </c>
    </row>
    <row r="1062" spans="1:7" ht="12">
      <c r="A1062" s="73"/>
      <c r="B1062" s="150"/>
      <c r="D1062" s="111"/>
      <c r="F1062" s="111"/>
    </row>
    <row r="1063" spans="1:7" ht="12">
      <c r="A1063" s="148" t="s">
        <v>2051</v>
      </c>
      <c r="B1063" s="149"/>
      <c r="D1063" s="111"/>
      <c r="F1063" s="111"/>
    </row>
    <row r="1064" spans="1:7" ht="12">
      <c r="A1064" s="14"/>
      <c r="B1064" s="150" t="s">
        <v>1982</v>
      </c>
      <c r="C1064" s="21" t="s">
        <v>2052</v>
      </c>
      <c r="D1064" s="273" t="s">
        <v>112</v>
      </c>
      <c r="E1064" s="21" t="s">
        <v>2053</v>
      </c>
      <c r="F1064" s="273" t="str">
        <f>IF(wskakunin_NOBE_MENSEKI_CHOSUISOU_SHINSEI="","",wskakunin_NOBE_MENSEKI_CHOSUISOU_SHINSEI)</f>
        <v/>
      </c>
      <c r="G1064" s="21" t="s">
        <v>1829</v>
      </c>
    </row>
    <row r="1065" spans="1:7" ht="12">
      <c r="A1065" s="14"/>
      <c r="B1065" s="150" t="s">
        <v>1985</v>
      </c>
      <c r="C1065" s="21" t="s">
        <v>2054</v>
      </c>
      <c r="D1065" s="273" t="s">
        <v>112</v>
      </c>
      <c r="E1065" s="21" t="s">
        <v>2055</v>
      </c>
      <c r="F1065" s="273" t="str">
        <f>IF(wskakunin_NOBE_MENSEKI_CHOSUISOU_IGAI="","",wskakunin_NOBE_MENSEKI_CHOSUISOU_IGAI)</f>
        <v/>
      </c>
      <c r="G1065" s="21" t="s">
        <v>1829</v>
      </c>
    </row>
    <row r="1066" spans="1:7" ht="12">
      <c r="A1066" s="14"/>
      <c r="B1066" s="150" t="s">
        <v>1988</v>
      </c>
      <c r="C1066" s="21" t="s">
        <v>2056</v>
      </c>
      <c r="D1066" s="273" t="s">
        <v>112</v>
      </c>
      <c r="E1066" s="21" t="s">
        <v>2057</v>
      </c>
      <c r="F1066" s="273" t="str">
        <f>IF(wskakunin_NOBE_MENSEKI_CHOSUISOU_TOTAL="","",wskakunin_NOBE_MENSEKI_CHOSUISOU_TOTAL)</f>
        <v/>
      </c>
      <c r="G1066" s="21" t="s">
        <v>1829</v>
      </c>
    </row>
    <row r="1067" spans="1:7" ht="12">
      <c r="A1067" s="73"/>
      <c r="B1067" s="150"/>
      <c r="D1067" s="111"/>
      <c r="F1067" s="111"/>
    </row>
    <row r="1068" spans="1:7" ht="12">
      <c r="A1068" s="689" t="s">
        <v>2058</v>
      </c>
      <c r="B1068" s="690"/>
      <c r="D1068" s="111"/>
      <c r="F1068" s="111"/>
    </row>
    <row r="1069" spans="1:7" ht="12">
      <c r="A1069" s="14"/>
      <c r="B1069" s="150" t="s">
        <v>1982</v>
      </c>
      <c r="C1069" s="21" t="s">
        <v>2059</v>
      </c>
      <c r="D1069" s="273" t="s">
        <v>112</v>
      </c>
      <c r="E1069" s="21" t="s">
        <v>2060</v>
      </c>
      <c r="F1069" s="273" t="str">
        <f>IF(wskakunin_NOBE_MENSEKI_TAKUHAI_SHINSEI="","",wskakunin_NOBE_MENSEKI_TAKUHAI_SHINSEI)</f>
        <v/>
      </c>
    </row>
    <row r="1070" spans="1:7" ht="12">
      <c r="A1070" s="14"/>
      <c r="B1070" s="150" t="s">
        <v>1985</v>
      </c>
      <c r="C1070" s="21" t="s">
        <v>2061</v>
      </c>
      <c r="D1070" s="273" t="s">
        <v>112</v>
      </c>
      <c r="E1070" s="21" t="s">
        <v>2062</v>
      </c>
      <c r="F1070" s="273" t="str">
        <f>IF(wskakunin_NOBE_MENSEKI_TAKUHAI_IGAI="","",wskakunin_NOBE_MENSEKI_TAKUHAI_IGAI)</f>
        <v/>
      </c>
    </row>
    <row r="1071" spans="1:7" ht="12">
      <c r="A1071" s="14"/>
      <c r="B1071" s="150" t="s">
        <v>1988</v>
      </c>
      <c r="C1071" s="21" t="s">
        <v>2063</v>
      </c>
      <c r="D1071" s="273" t="s">
        <v>112</v>
      </c>
      <c r="E1071" s="21" t="s">
        <v>2064</v>
      </c>
      <c r="F1071" s="273" t="str">
        <f>IF(wskakunin_NOBE_MENSEKI_TAKUHAI_TOTAL="","",wskakunin_NOBE_MENSEKI_TAKUHAI_TOTAL)</f>
        <v/>
      </c>
    </row>
    <row r="1072" spans="1:7" ht="12">
      <c r="A1072" s="14"/>
      <c r="B1072" s="150"/>
      <c r="D1072" s="111"/>
      <c r="F1072" s="111"/>
    </row>
    <row r="1073" spans="1:6" ht="12">
      <c r="A1073" s="148" t="s">
        <v>2065</v>
      </c>
      <c r="B1073" s="149"/>
      <c r="D1073" s="111"/>
      <c r="F1073" s="111"/>
    </row>
    <row r="1074" spans="1:6" ht="12">
      <c r="A1074" s="14"/>
      <c r="B1074" s="150" t="s">
        <v>1982</v>
      </c>
      <c r="C1074" s="21" t="s">
        <v>2066</v>
      </c>
      <c r="D1074" s="274" t="s">
        <v>112</v>
      </c>
      <c r="E1074" s="21" t="s">
        <v>2067</v>
      </c>
      <c r="F1074" s="274" t="str">
        <f>IF(wskakunin_NOBE_MENSEKI_JYUTAKU_SHINSEI="", "", wskakunin_NOBE_MENSEKI_JYUTAKU_SHINSEI)</f>
        <v/>
      </c>
    </row>
    <row r="1075" spans="1:6" ht="12">
      <c r="A1075" s="14"/>
      <c r="B1075" s="150" t="s">
        <v>1985</v>
      </c>
      <c r="C1075" s="21" t="s">
        <v>2068</v>
      </c>
      <c r="D1075" s="273" t="s">
        <v>112</v>
      </c>
      <c r="E1075" s="21" t="s">
        <v>2069</v>
      </c>
      <c r="F1075" s="273" t="str">
        <f>IF(wskakunin_NOBE_MENSEKI_JYUTAKU_IGAI="","",wskakunin_NOBE_MENSEKI_JYUTAKU_IGAI)</f>
        <v/>
      </c>
    </row>
    <row r="1076" spans="1:6" ht="12">
      <c r="A1076" s="14"/>
      <c r="B1076" s="150" t="s">
        <v>1988</v>
      </c>
      <c r="C1076" s="21" t="s">
        <v>2070</v>
      </c>
      <c r="D1076" s="273" t="s">
        <v>112</v>
      </c>
      <c r="E1076" s="21" t="s">
        <v>2071</v>
      </c>
      <c r="F1076" s="273" t="str">
        <f>IF(wskakunin_NOBE_MENSEKI_JYUTAKU_TOTAL="","",wskakunin_NOBE_MENSEKI_JYUTAKU_TOTAL)</f>
        <v/>
      </c>
    </row>
    <row r="1077" spans="1:6" ht="12">
      <c r="A1077" s="73"/>
      <c r="B1077" s="150"/>
      <c r="D1077" s="111"/>
      <c r="F1077" s="111"/>
    </row>
    <row r="1078" spans="1:6" ht="12">
      <c r="A1078" s="148" t="s">
        <v>2072</v>
      </c>
      <c r="B1078" s="149"/>
      <c r="D1078" s="111"/>
      <c r="F1078" s="111"/>
    </row>
    <row r="1079" spans="1:6" ht="12">
      <c r="A1079" s="14"/>
      <c r="B1079" s="150" t="s">
        <v>1982</v>
      </c>
      <c r="C1079" s="21" t="s">
        <v>2073</v>
      </c>
      <c r="D1079" s="273" t="s">
        <v>112</v>
      </c>
      <c r="E1079" s="21" t="s">
        <v>2074</v>
      </c>
      <c r="F1079" s="273" t="str">
        <f>IF(wskakunin_NOBE_MENSEKI_ROUJIN_SHINSEI="","",wskakunin_NOBE_MENSEKI_ROUJIN_SHINSEI)</f>
        <v/>
      </c>
    </row>
    <row r="1080" spans="1:6" ht="12">
      <c r="A1080" s="14"/>
      <c r="B1080" s="150" t="s">
        <v>1985</v>
      </c>
      <c r="C1080" s="21" t="s">
        <v>2075</v>
      </c>
      <c r="D1080" s="273" t="s">
        <v>112</v>
      </c>
      <c r="E1080" s="21" t="s">
        <v>2076</v>
      </c>
      <c r="F1080" s="273" t="str">
        <f>IF(wskakunin_NOBE_MENSEKI_ROUJIN_IGAI="","",wskakunin_NOBE_MENSEKI_ROUJIN_IGAI)</f>
        <v/>
      </c>
    </row>
    <row r="1081" spans="1:6" ht="12">
      <c r="A1081" s="14"/>
      <c r="B1081" s="150" t="s">
        <v>1988</v>
      </c>
      <c r="C1081" s="21" t="s">
        <v>2077</v>
      </c>
      <c r="D1081" s="273" t="s">
        <v>112</v>
      </c>
      <c r="E1081" s="21" t="s">
        <v>2078</v>
      </c>
      <c r="F1081" s="273" t="str">
        <f>IF(wskakunin_NOBE_MENSEKI_ROUJIN_TOTAL="","",wskakunin_NOBE_MENSEKI_ROUJIN_TOTAL)</f>
        <v/>
      </c>
    </row>
    <row r="1082" spans="1:6" ht="12">
      <c r="A1082" s="73"/>
      <c r="B1082" s="150"/>
      <c r="D1082" s="111"/>
      <c r="F1082" s="111"/>
    </row>
    <row r="1083" spans="1:6" ht="12">
      <c r="A1083" s="148" t="s">
        <v>2079</v>
      </c>
      <c r="B1083" s="149"/>
      <c r="D1083" s="111"/>
      <c r="F1083" s="111"/>
    </row>
    <row r="1084" spans="1:6" ht="12">
      <c r="A1084" s="14"/>
      <c r="B1084" s="150" t="s">
        <v>1988</v>
      </c>
      <c r="C1084" s="21" t="s">
        <v>2080</v>
      </c>
      <c r="D1084" s="273" t="s">
        <v>112</v>
      </c>
      <c r="E1084" s="21" t="s">
        <v>2081</v>
      </c>
      <c r="F1084" s="273" t="str">
        <f>IF(wskakunin_NOBE_MENSEKI="","",wskakunin_NOBE_MENSEKI)</f>
        <v/>
      </c>
    </row>
    <row r="1085" spans="1:6" ht="12">
      <c r="A1085" s="73"/>
      <c r="B1085" s="150"/>
      <c r="D1085" s="111"/>
      <c r="F1085" s="111"/>
    </row>
    <row r="1086" spans="1:6" ht="12">
      <c r="A1086" s="148" t="s">
        <v>1830</v>
      </c>
      <c r="B1086" s="149"/>
      <c r="D1086" s="111"/>
      <c r="F1086" s="111"/>
    </row>
    <row r="1087" spans="1:6" ht="12">
      <c r="A1087" s="14"/>
      <c r="B1087" s="150" t="s">
        <v>1988</v>
      </c>
      <c r="C1087" s="21" t="s">
        <v>2082</v>
      </c>
      <c r="D1087" s="273" t="s">
        <v>112</v>
      </c>
      <c r="E1087" s="21" t="s">
        <v>2083</v>
      </c>
      <c r="F1087" s="273" t="str">
        <f>IF(wskakunin_YOUSEKI_RITU="","",wskakunin_YOUSEKI_RITU)</f>
        <v/>
      </c>
    </row>
    <row r="1088" spans="1:6" ht="12">
      <c r="A1088" s="73"/>
      <c r="B1088" s="150"/>
      <c r="D1088" s="111"/>
      <c r="F1088" s="111"/>
    </row>
    <row r="1089" spans="1:6" ht="12">
      <c r="A1089" s="14" t="s">
        <v>2084</v>
      </c>
      <c r="B1089" s="146"/>
      <c r="D1089" s="22"/>
      <c r="F1089" s="22"/>
    </row>
    <row r="1090" spans="1:6" ht="12">
      <c r="A1090" s="14"/>
      <c r="B1090" s="74" t="s">
        <v>2085</v>
      </c>
      <c r="C1090" s="21" t="s">
        <v>2086</v>
      </c>
      <c r="D1090" s="162" t="s">
        <v>112</v>
      </c>
      <c r="E1090" s="21" t="s">
        <v>2087</v>
      </c>
      <c r="F1090" s="162" t="str">
        <f>IF(wskakunin_BUILD_SHINSEI_COUNT="","",wskakunin_BUILD_SHINSEI_COUNT)</f>
        <v/>
      </c>
    </row>
    <row r="1091" spans="1:6" ht="12">
      <c r="A1091" s="14"/>
      <c r="B1091" s="74" t="s">
        <v>2088</v>
      </c>
      <c r="C1091" s="21" t="s">
        <v>2089</v>
      </c>
      <c r="D1091" s="162" t="s">
        <v>112</v>
      </c>
      <c r="E1091" s="21" t="s">
        <v>2090</v>
      </c>
      <c r="F1091" s="162" t="str">
        <f>IF(wskakunin_BUILD_SONOTA_COUNT="","",wskakunin_BUILD_SONOTA_COUNT)</f>
        <v/>
      </c>
    </row>
    <row r="1092" spans="1:6" ht="12">
      <c r="A1092" s="15"/>
      <c r="B1092" s="75"/>
      <c r="D1092" s="22"/>
      <c r="F1092" s="22"/>
    </row>
    <row r="1093" spans="1:6" ht="12">
      <c r="A1093" s="70" t="s">
        <v>2091</v>
      </c>
      <c r="B1093" s="71"/>
      <c r="D1093" s="22"/>
      <c r="F1093" s="22"/>
    </row>
    <row r="1094" spans="1:6" ht="12">
      <c r="A1094" s="48" t="s">
        <v>2092</v>
      </c>
      <c r="B1094" s="72"/>
      <c r="D1094" s="22"/>
      <c r="F1094" s="22"/>
    </row>
    <row r="1095" spans="1:6" ht="12">
      <c r="A1095" s="14"/>
      <c r="B1095" s="74" t="s">
        <v>2093</v>
      </c>
      <c r="C1095" s="21" t="s">
        <v>2094</v>
      </c>
      <c r="D1095" s="272" t="s">
        <v>112</v>
      </c>
      <c r="E1095" s="21" t="s">
        <v>2095</v>
      </c>
      <c r="F1095" s="272" t="str">
        <f>IF(wskakunin_TAKASA_MAX_SHINSEI="","",wskakunin_TAKASA_MAX_SHINSEI)</f>
        <v/>
      </c>
    </row>
    <row r="1096" spans="1:6" ht="12">
      <c r="A1096" s="73"/>
      <c r="B1096" s="74" t="s">
        <v>2096</v>
      </c>
      <c r="C1096" s="21" t="s">
        <v>2097</v>
      </c>
      <c r="D1096" s="272" t="s">
        <v>112</v>
      </c>
      <c r="E1096" s="21" t="s">
        <v>2098</v>
      </c>
      <c r="F1096" s="272" t="str">
        <f>IF(wskakunin_TAKASA_MAX_SONOTA="","",wskakunin_TAKASA_MAX_SONOTA)</f>
        <v/>
      </c>
    </row>
    <row r="1097" spans="1:6" ht="12">
      <c r="A1097" s="48" t="s">
        <v>2099</v>
      </c>
      <c r="B1097" s="72"/>
      <c r="D1097" s="22"/>
      <c r="F1097" s="22"/>
    </row>
    <row r="1098" spans="1:6" ht="12">
      <c r="A1098" s="14"/>
      <c r="B1098" s="74" t="s">
        <v>2093</v>
      </c>
      <c r="C1098" s="21" t="s">
        <v>2100</v>
      </c>
      <c r="D1098" s="162" t="s">
        <v>112</v>
      </c>
      <c r="E1098" s="21" t="s">
        <v>2101</v>
      </c>
      <c r="F1098" s="162" t="str">
        <f>IF(wskakunin_KAISU_TIJYOU_SHINSEI="", "", wskakunin_KAISU_TIJYOU_SHINSEI)</f>
        <v/>
      </c>
    </row>
    <row r="1099" spans="1:6" ht="12">
      <c r="A1099" s="73"/>
      <c r="B1099" s="74" t="s">
        <v>2096</v>
      </c>
      <c r="C1099" s="21" t="s">
        <v>2102</v>
      </c>
      <c r="D1099" s="162" t="s">
        <v>112</v>
      </c>
      <c r="E1099" s="21" t="s">
        <v>2103</v>
      </c>
      <c r="F1099" s="162" t="str">
        <f>IF(wskakunin_KAISU_TIJYOU_SONOTA="","",wskakunin_KAISU_TIJYOU_SONOTA)</f>
        <v/>
      </c>
    </row>
    <row r="1100" spans="1:6" ht="12">
      <c r="A1100" s="48" t="s">
        <v>2104</v>
      </c>
      <c r="B1100" s="72"/>
      <c r="D1100" s="22"/>
      <c r="F1100" s="22"/>
    </row>
    <row r="1101" spans="1:6" ht="12">
      <c r="A1101" s="14"/>
      <c r="B1101" s="74" t="s">
        <v>2093</v>
      </c>
      <c r="C1101" s="21" t="s">
        <v>2105</v>
      </c>
      <c r="D1101" s="162">
        <v>0</v>
      </c>
      <c r="E1101" s="21" t="s">
        <v>2106</v>
      </c>
      <c r="F1101" s="162">
        <f>IF(wskakunin_KAISU_TIKA_SHINSEI__zero="", "", wskakunin_KAISU_TIKA_SHINSEI__zero)</f>
        <v>0</v>
      </c>
    </row>
    <row r="1102" spans="1:6" ht="12">
      <c r="A1102" s="73"/>
      <c r="B1102" s="74" t="s">
        <v>2096</v>
      </c>
      <c r="C1102" s="21" t="s">
        <v>2107</v>
      </c>
      <c r="D1102" s="162" t="s">
        <v>112</v>
      </c>
      <c r="E1102" s="21" t="s">
        <v>2108</v>
      </c>
      <c r="F1102" s="162" t="str">
        <f>IF(wskakunin_KAISU_TIKA_SONOTA="","",wskakunin_KAISU_TIKA_SONOTA)</f>
        <v/>
      </c>
    </row>
    <row r="1103" spans="1:6" ht="12">
      <c r="A1103" s="48" t="s">
        <v>1679</v>
      </c>
      <c r="B1103" s="72"/>
      <c r="D1103" s="22"/>
      <c r="F1103" s="22"/>
    </row>
    <row r="1104" spans="1:6" ht="12">
      <c r="A1104" s="14"/>
      <c r="B1104" s="74" t="s">
        <v>1679</v>
      </c>
      <c r="C1104" s="21" t="s">
        <v>2109</v>
      </c>
      <c r="D1104" s="162" t="s">
        <v>112</v>
      </c>
      <c r="E1104" s="21" t="s">
        <v>2110</v>
      </c>
      <c r="F1104" s="162" t="str">
        <f>IF(wskakunin_KOUZOU1="","",wskakunin_KOUZOU1)</f>
        <v/>
      </c>
    </row>
    <row r="1105" spans="1:6" ht="12">
      <c r="A1105" s="14"/>
      <c r="B1105" s="74" t="s">
        <v>2111</v>
      </c>
      <c r="C1105" s="21" t="s">
        <v>2112</v>
      </c>
      <c r="D1105" s="162" t="s">
        <v>112</v>
      </c>
      <c r="E1105" s="21" t="s">
        <v>2113</v>
      </c>
      <c r="F1105" s="162" t="str">
        <f>IF(wskakunin_KOUZOU2="","",wskakunin_KOUZOU2)</f>
        <v/>
      </c>
    </row>
    <row r="1106" spans="1:6" ht="12">
      <c r="A1106" s="14"/>
      <c r="B1106" s="220"/>
      <c r="E1106" s="21" t="s">
        <v>2114</v>
      </c>
      <c r="F1106" s="21" t="str">
        <f>IF(OR(LEFT(wskakunin_KOUZOU1,2)="木造",LEFT(wskakunin_KOUZOU2,2)="木造"),"○","")</f>
        <v/>
      </c>
    </row>
    <row r="1107" spans="1:6" ht="12">
      <c r="A1107" s="89"/>
      <c r="B1107" s="74"/>
      <c r="D1107" s="22"/>
      <c r="E1107" s="21" t="s">
        <v>2115</v>
      </c>
      <c r="F1107" s="22" t="str">
        <f>IF(OR(wskakunin_KOUZOU1="木造（在来工法）",wskakunin_KOUZOU1="木造（軸組工法）",wskakunin_KOUZOU1="木造（在来軸組工法）",wskakunin_KOUZOU1="木造（テクノストラクチャー）",wskakunin_KOUZOU2="木造（在来工法）",wskakunin_KOUZOU2="木造（軸組工法）",wskakunin_KOUZOU2="木造（在来軸組工法）",wskakunin_KOUZOU2="木造（テクノストラクチャー）"),"○","")</f>
        <v/>
      </c>
    </row>
    <row r="1108" spans="1:6" ht="12">
      <c r="A1108" s="14"/>
      <c r="B1108" s="146"/>
      <c r="D1108" s="22"/>
      <c r="E1108" s="21" t="s">
        <v>2116</v>
      </c>
      <c r="F1108" s="162" t="str">
        <f>IF(cst_wskakunin_KOUZOU1="","",IF(AND(cst_wskakunin_KOUZOU1&lt;&gt;"",cst_wskakunin_KOUZOU2&lt;&gt;""),cst_wskakunin_KOUZOU1&amp;" 一部 "&amp;cst_wskakunin_KOUZOU2,cst_wskakunin_KOUZOU1))</f>
        <v/>
      </c>
    </row>
    <row r="1109" spans="1:6" ht="12">
      <c r="A1109" s="14" t="s">
        <v>2117</v>
      </c>
      <c r="B1109" s="32"/>
    </row>
    <row r="1110" spans="1:6" ht="12">
      <c r="A1110" s="14"/>
      <c r="B1110" s="74" t="s">
        <v>2118</v>
      </c>
      <c r="C1110" s="21" t="s">
        <v>2119</v>
      </c>
      <c r="D1110" s="162" t="s">
        <v>112</v>
      </c>
      <c r="E1110" s="21" t="s">
        <v>2120</v>
      </c>
      <c r="F1110" s="162" t="str">
        <f>IF(wskakunin_TOKUREI_TAKASA=1,"有","無")</f>
        <v>無</v>
      </c>
    </row>
    <row r="1111" spans="1:6" ht="12">
      <c r="A1111" s="14"/>
      <c r="B1111" s="74" t="s">
        <v>2121</v>
      </c>
      <c r="D1111" s="22"/>
      <c r="E1111" s="21" t="s">
        <v>2122</v>
      </c>
      <c r="F1111" s="162" t="str">
        <f>IF(wskakunin_TOKUREI_TAKASA=1,"■","□")</f>
        <v>□</v>
      </c>
    </row>
    <row r="1112" spans="1:6" ht="12">
      <c r="A1112" s="14"/>
      <c r="B1112" s="74" t="s">
        <v>2123</v>
      </c>
      <c r="D1112" s="22"/>
      <c r="E1112" s="21" t="s">
        <v>2124</v>
      </c>
      <c r="F1112" s="162" t="str">
        <f>IF(wskakunin_TOKUREI_TAKASA="","□",IF(wskakunin_TOKUREI_TAKASA=0,"■","□"))</f>
        <v>□</v>
      </c>
    </row>
    <row r="1113" spans="1:6" ht="12">
      <c r="A1113" s="14"/>
      <c r="B1113" s="74"/>
      <c r="D1113" s="22"/>
      <c r="F1113" s="22"/>
    </row>
    <row r="1114" spans="1:6" ht="12">
      <c r="A1114" s="48" t="s">
        <v>2125</v>
      </c>
      <c r="B1114" s="72"/>
      <c r="D1114" s="22"/>
      <c r="F1114" s="22"/>
    </row>
    <row r="1115" spans="1:6" ht="12">
      <c r="A1115" s="14"/>
      <c r="B1115" s="74" t="s">
        <v>2126</v>
      </c>
      <c r="C1115" s="21" t="s">
        <v>2127</v>
      </c>
      <c r="D1115" s="162" t="s">
        <v>112</v>
      </c>
      <c r="E1115" s="21" t="s">
        <v>2128</v>
      </c>
      <c r="F1115" s="162" t="str">
        <f>IF(wskakunin_TOKUREI_TAKASA_DOURO=1,"■","□")</f>
        <v>□</v>
      </c>
    </row>
    <row r="1116" spans="1:6" ht="12">
      <c r="A1116" s="14"/>
      <c r="B1116" s="74" t="s">
        <v>2129</v>
      </c>
      <c r="C1116" s="21" t="s">
        <v>2130</v>
      </c>
      <c r="D1116" s="162" t="s">
        <v>112</v>
      </c>
      <c r="E1116" s="21" t="s">
        <v>2131</v>
      </c>
      <c r="F1116" s="162" t="str">
        <f>IF(wskakunin_TOKUREI_TAKASA_RINTI=1,"■","□")</f>
        <v>□</v>
      </c>
    </row>
    <row r="1117" spans="1:6" ht="12">
      <c r="A1117" s="14"/>
      <c r="B1117" s="74" t="s">
        <v>2132</v>
      </c>
      <c r="C1117" s="21" t="s">
        <v>2133</v>
      </c>
      <c r="D1117" s="162" t="s">
        <v>112</v>
      </c>
      <c r="E1117" s="21" t="s">
        <v>2134</v>
      </c>
      <c r="F1117" s="162" t="str">
        <f>IF(wskakunin_TOKUREI_TAKASA_KITA=1,"■","□")</f>
        <v>□</v>
      </c>
    </row>
    <row r="1118" spans="1:6" ht="12">
      <c r="A1118" s="15"/>
      <c r="B1118" s="75"/>
      <c r="D1118" s="22"/>
      <c r="F1118" s="22"/>
    </row>
    <row r="1119" spans="1:6" ht="12">
      <c r="A1119" s="90" t="s">
        <v>2135</v>
      </c>
      <c r="B1119" s="99"/>
      <c r="C1119" s="21" t="s">
        <v>2136</v>
      </c>
    </row>
    <row r="1120" spans="1:6" ht="12">
      <c r="A1120" s="153" t="s">
        <v>1649</v>
      </c>
      <c r="B1120" s="154"/>
    </row>
    <row r="1121" spans="1:6" ht="12">
      <c r="A1121" s="92"/>
      <c r="B1121" s="155" t="s">
        <v>2137</v>
      </c>
      <c r="C1121" s="21" t="s">
        <v>2138</v>
      </c>
      <c r="D1121" s="255"/>
      <c r="E1121" s="21" t="s">
        <v>2139</v>
      </c>
      <c r="F1121" s="162" t="str">
        <f>IF(wskakunin_kyoka01_HOUREI="","",wskakunin_kyoka01_HOUREI)</f>
        <v/>
      </c>
    </row>
    <row r="1122" spans="1:6" ht="12">
      <c r="A1122" s="92"/>
      <c r="B1122" s="155" t="s">
        <v>2140</v>
      </c>
      <c r="C1122" s="21" t="s">
        <v>2141</v>
      </c>
      <c r="D1122" s="255"/>
      <c r="E1122" s="21" t="s">
        <v>2142</v>
      </c>
      <c r="F1122" s="162" t="str">
        <f>IF(wskakunin_kyoka01_JOUKOU="","",wskakunin_kyoka01_JOUKOU)</f>
        <v/>
      </c>
    </row>
    <row r="1123" spans="1:6" ht="12">
      <c r="A1123" s="92"/>
      <c r="B1123" s="155" t="s">
        <v>2143</v>
      </c>
      <c r="C1123" s="21" t="s">
        <v>2144</v>
      </c>
      <c r="D1123" s="255"/>
      <c r="E1123" s="21" t="s">
        <v>2145</v>
      </c>
      <c r="F1123" s="162" t="str">
        <f>IF(wskakunin_kyoka01_KYOKA_NO="","",wskakunin_kyoka01_KYOKA_NO)</f>
        <v/>
      </c>
    </row>
    <row r="1124" spans="1:6" ht="12">
      <c r="A1124" s="92"/>
      <c r="B1124" s="155" t="s">
        <v>2146</v>
      </c>
      <c r="C1124" s="21" t="s">
        <v>2147</v>
      </c>
      <c r="D1124" s="254"/>
      <c r="E1124" s="21" t="s">
        <v>2148</v>
      </c>
      <c r="F1124" s="162" t="str">
        <f>IF(wskakunin_kyoka01_KYOKA_DATE="","",wskakunin_kyoka01_KYOKA_DATE)</f>
        <v/>
      </c>
    </row>
    <row r="1125" spans="1:6" ht="12">
      <c r="A1125" s="92"/>
      <c r="B1125" s="155" t="s">
        <v>2</v>
      </c>
      <c r="C1125" s="21" t="s">
        <v>2149</v>
      </c>
      <c r="D1125" s="255"/>
      <c r="E1125" s="21" t="s">
        <v>2150</v>
      </c>
      <c r="F1125" s="162" t="str">
        <f>IF(wskakunin_kyoka01_BIKOU="","",wskakunin_kyoka01_BIKOU)</f>
        <v/>
      </c>
    </row>
    <row r="1126" spans="1:6" ht="12">
      <c r="A1126" s="92"/>
      <c r="B1126" s="156" t="s">
        <v>2151</v>
      </c>
      <c r="D1126" s="37"/>
      <c r="F1126" s="22"/>
    </row>
    <row r="1127" spans="1:6" ht="12">
      <c r="A1127" s="92"/>
      <c r="B1127" s="156"/>
      <c r="D1127" s="22"/>
      <c r="F1127" s="22"/>
    </row>
    <row r="1128" spans="1:6" ht="12">
      <c r="A1128" s="153" t="s">
        <v>2152</v>
      </c>
      <c r="B1128" s="154"/>
    </row>
    <row r="1129" spans="1:6" ht="12">
      <c r="A1129" s="92"/>
      <c r="B1129" s="155" t="s">
        <v>2137</v>
      </c>
      <c r="C1129" s="21" t="s">
        <v>2153</v>
      </c>
      <c r="D1129" s="255"/>
      <c r="E1129" s="21" t="s">
        <v>2154</v>
      </c>
      <c r="F1129" s="162" t="str">
        <f>IF(wskakunin_kyoka02_HOUREI="","",wskakunin_kyoka02_HOUREI)</f>
        <v/>
      </c>
    </row>
    <row r="1130" spans="1:6" ht="12">
      <c r="A1130" s="92"/>
      <c r="B1130" s="155" t="s">
        <v>2140</v>
      </c>
      <c r="C1130" s="21" t="s">
        <v>2155</v>
      </c>
      <c r="D1130" s="255"/>
      <c r="E1130" s="21" t="s">
        <v>2156</v>
      </c>
      <c r="F1130" s="162" t="str">
        <f>IF(wskakunin_kyoka02_JOUKOU="","",wskakunin_kyoka02_JOUKOU)</f>
        <v/>
      </c>
    </row>
    <row r="1131" spans="1:6" ht="12">
      <c r="A1131" s="92"/>
      <c r="B1131" s="155" t="s">
        <v>2143</v>
      </c>
      <c r="C1131" s="21" t="s">
        <v>2157</v>
      </c>
      <c r="D1131" s="255"/>
      <c r="E1131" s="21" t="s">
        <v>2158</v>
      </c>
      <c r="F1131" s="162" t="str">
        <f>IF(wskakunin_kyoka02_KYOKA_NO="","",wskakunin_kyoka02_KYOKA_NO)</f>
        <v/>
      </c>
    </row>
    <row r="1132" spans="1:6" ht="12">
      <c r="A1132" s="92"/>
      <c r="B1132" s="155" t="s">
        <v>2146</v>
      </c>
      <c r="C1132" s="21" t="s">
        <v>2159</v>
      </c>
      <c r="D1132" s="275"/>
      <c r="E1132" s="21" t="s">
        <v>2160</v>
      </c>
      <c r="F1132" s="275" t="str">
        <f>IF(wskakunin_kyoka02_KYOKA_DATE="","",wskakunin_kyoka02_KYOKA_DATE)</f>
        <v/>
      </c>
    </row>
    <row r="1133" spans="1:6" ht="12">
      <c r="A1133" s="92"/>
      <c r="B1133" s="155" t="s">
        <v>2</v>
      </c>
      <c r="C1133" s="21" t="s">
        <v>2161</v>
      </c>
      <c r="D1133" s="255"/>
      <c r="E1133" s="21" t="s">
        <v>2162</v>
      </c>
      <c r="F1133" s="162" t="str">
        <f>IF(wskakunin_kyoka02_BIKOU="","",wskakunin_kyoka02_BIKOU)</f>
        <v/>
      </c>
    </row>
    <row r="1134" spans="1:6" ht="12">
      <c r="A1134" s="92"/>
      <c r="B1134" s="156" t="s">
        <v>2163</v>
      </c>
      <c r="D1134" s="37"/>
      <c r="F1134" s="22"/>
    </row>
    <row r="1135" spans="1:6" ht="12">
      <c r="A1135" s="157"/>
      <c r="B1135" s="156"/>
      <c r="D1135" s="22"/>
      <c r="F1135" s="22"/>
    </row>
    <row r="1136" spans="1:6" ht="12">
      <c r="A1136" s="153" t="s">
        <v>2164</v>
      </c>
      <c r="B1136" s="154"/>
    </row>
    <row r="1137" spans="1:8" ht="12">
      <c r="A1137" s="92"/>
      <c r="B1137" s="155" t="s">
        <v>2137</v>
      </c>
      <c r="C1137" s="21" t="s">
        <v>2165</v>
      </c>
      <c r="D1137" s="255"/>
      <c r="E1137" s="21" t="s">
        <v>2166</v>
      </c>
      <c r="F1137" s="162" t="str">
        <f>IF(wskakunin_kyoka03_HOUREI="","",wskakunin_kyoka03_HOUREI)</f>
        <v/>
      </c>
    </row>
    <row r="1138" spans="1:8" ht="12">
      <c r="A1138" s="92"/>
      <c r="B1138" s="155" t="s">
        <v>2140</v>
      </c>
      <c r="C1138" s="21" t="s">
        <v>2167</v>
      </c>
      <c r="D1138" s="255"/>
      <c r="E1138" s="21" t="s">
        <v>2168</v>
      </c>
      <c r="F1138" s="162" t="str">
        <f>IF(wskakunin_kyoka03_JOUKOU="","",wskakunin_kyoka03_JOUKOU)</f>
        <v/>
      </c>
    </row>
    <row r="1139" spans="1:8" ht="12">
      <c r="A1139" s="92"/>
      <c r="B1139" s="155" t="s">
        <v>2143</v>
      </c>
      <c r="C1139" s="21" t="s">
        <v>2169</v>
      </c>
      <c r="D1139" s="255"/>
      <c r="E1139" s="21" t="s">
        <v>2170</v>
      </c>
      <c r="F1139" s="162" t="str">
        <f>IF(wskakunin_kyoka03_KYOKA_NO="","",wskakunin_kyoka03_KYOKA_NO)</f>
        <v/>
      </c>
    </row>
    <row r="1140" spans="1:8" ht="12">
      <c r="A1140" s="92"/>
      <c r="B1140" s="155" t="s">
        <v>2146</v>
      </c>
      <c r="C1140" s="21" t="s">
        <v>2171</v>
      </c>
      <c r="D1140" s="275"/>
      <c r="E1140" s="21" t="s">
        <v>2172</v>
      </c>
      <c r="F1140" s="275" t="str">
        <f>IF(wskakunin_kyoka03_KYOKA_DATE="","",wskakunin_kyoka03_KYOKA_DATE)</f>
        <v/>
      </c>
    </row>
    <row r="1141" spans="1:8" ht="12">
      <c r="A1141" s="92"/>
      <c r="B1141" s="155" t="s">
        <v>2</v>
      </c>
      <c r="C1141" s="21" t="s">
        <v>2173</v>
      </c>
      <c r="D1141" s="255"/>
      <c r="E1141" s="21" t="s">
        <v>2174</v>
      </c>
      <c r="F1141" s="162" t="str">
        <f>IF(wskakunin_kyoka03_BIKOU="","",wskakunin_kyoka03_BIKOU)</f>
        <v/>
      </c>
    </row>
    <row r="1142" spans="1:8" ht="12">
      <c r="A1142" s="92"/>
      <c r="B1142" s="156" t="s">
        <v>2175</v>
      </c>
      <c r="D1142" s="37"/>
      <c r="F1142" s="22"/>
    </row>
    <row r="1143" spans="1:8" ht="12">
      <c r="A1143" s="157"/>
      <c r="B1143" s="155"/>
      <c r="D1143" s="22"/>
      <c r="F1143" s="22"/>
    </row>
    <row r="1144" spans="1:8" ht="12">
      <c r="A1144" s="92" t="s">
        <v>2176</v>
      </c>
      <c r="B1144" s="152"/>
      <c r="D1144" s="22"/>
      <c r="E1144" s="21" t="s">
        <v>2177</v>
      </c>
      <c r="F1144" s="162" t="str">
        <f>cst_wskakunin_kyoka01_HOUREI&amp;IF(cst_wskakunin_kyoka02_HOUREI&lt;&gt;"",CHAR(10)&amp;cst_wskakunin_kyoka02_HOUREI,cst_wskakunin_kyoka02_HOUREI)&amp;IF(cst_wskakunin_kyoka03_HOUREI&lt;&gt;"",CHAR(10)&amp;cst_wskakunin_kyoka03_HOUREI,cst_wskakunin_kyoka03_HOUREI)</f>
        <v/>
      </c>
      <c r="G1144" s="21" t="s">
        <v>2178</v>
      </c>
    </row>
    <row r="1145" spans="1:8" ht="12">
      <c r="A1145" s="94"/>
      <c r="B1145" s="100"/>
      <c r="D1145" s="22"/>
      <c r="F1145" s="22"/>
    </row>
    <row r="1146" spans="1:8" ht="12">
      <c r="A1146" s="90" t="s">
        <v>2179</v>
      </c>
      <c r="B1146" s="99"/>
      <c r="C1146" s="21" t="s">
        <v>2180</v>
      </c>
      <c r="D1146" s="275" t="s">
        <v>112</v>
      </c>
      <c r="E1146" s="21" t="s">
        <v>2181</v>
      </c>
      <c r="F1146" s="275" t="str">
        <f>IF(wskakunin_KOUJI_TYAKUSYU_YOTEI_DATE="", "", wskakunin_KOUJI_TYAKUSYU_YOTEI_DATE)</f>
        <v/>
      </c>
    </row>
    <row r="1147" spans="1:8" ht="12">
      <c r="A1147" s="219"/>
      <c r="B1147" s="227"/>
      <c r="D1147" s="22"/>
      <c r="F1147" s="22"/>
    </row>
    <row r="1148" spans="1:8" ht="12">
      <c r="A1148" s="90" t="s">
        <v>2182</v>
      </c>
      <c r="B1148" s="99"/>
      <c r="C1148" s="21" t="s">
        <v>2183</v>
      </c>
      <c r="D1148" s="275">
        <v>45416</v>
      </c>
      <c r="E1148" s="21" t="s">
        <v>2184</v>
      </c>
      <c r="F1148" s="275">
        <f>IF(wskakunin_KOUJI_KANRYOU_YOTEI_DATE="", "", wskakunin_KOUJI_KANRYOU_YOTEI_DATE)</f>
        <v>45416</v>
      </c>
    </row>
    <row r="1149" spans="1:8" ht="12">
      <c r="A1149" s="94"/>
      <c r="B1149" s="100"/>
      <c r="D1149" s="22"/>
      <c r="F1149" s="22"/>
    </row>
    <row r="1150" spans="1:8" ht="12">
      <c r="A1150" s="51"/>
      <c r="B1150" s="52" t="s">
        <v>2185</v>
      </c>
      <c r="E1150" s="21" t="s">
        <v>2186</v>
      </c>
      <c r="F1150" s="47" t="str">
        <f>IF(OR(wskakunin_KOUJI_TYAKUSYU_YOTEI_DATE="",wskakunin_KOUJI_KANRYOU_YOTEI_DATE=""),"",IF(DATEDIF(wskakunin_KOUJI_TYAKUSYU_YOTEI_DATE,wskakunin_KOUJI_KANRYOU_YOTEI_DATE,"D")&lt;=44,0,DATEDIF(wskakunin_KOUJI_TYAKUSYU_YOTEI_DATE,wskakunin_KOUJI_KANRYOU_YOTEI_DATE+16,"Y")))</f>
        <v/>
      </c>
      <c r="G1150" s="22"/>
      <c r="H1150" s="22"/>
    </row>
    <row r="1151" spans="1:8" ht="12">
      <c r="A1151" s="53"/>
      <c r="B1151" s="69" t="s">
        <v>2187</v>
      </c>
      <c r="E1151" s="21" t="s">
        <v>2188</v>
      </c>
      <c r="F1151" s="47" t="str">
        <f>IF(OR(wskakunin_KOUJI_TYAKUSYU_YOTEI_DATE="",wskakunin_KOUJI_KANRYOU_YOTEI_DATE=""),"",IF(DATEDIF(wskakunin_KOUJI_TYAKUSYU_YOTEI_DATE,wskakunin_KOUJI_KANRYOU_YOTEI_DATE,"D")&lt;=44,1,DATEDIF(wskakunin_KOUJI_TYAKUSYU_YOTEI_DATE,wskakunin_KOUJI_KANRYOU_YOTEI_DATE+16,"YM")))</f>
        <v/>
      </c>
      <c r="G1151" s="22"/>
      <c r="H1151" s="22"/>
    </row>
    <row r="1152" spans="1:8" ht="12">
      <c r="A1152" s="54"/>
      <c r="B1152" s="66"/>
      <c r="G1152" s="22"/>
      <c r="H1152" s="22"/>
    </row>
    <row r="1153" spans="1:8" ht="12">
      <c r="G1153" s="22"/>
      <c r="H1153" s="22"/>
    </row>
    <row r="1154" spans="1:8" ht="12">
      <c r="A1154" s="91" t="s">
        <v>2189</v>
      </c>
      <c r="B1154" s="112"/>
    </row>
    <row r="1155" spans="1:8" ht="12">
      <c r="A1155" s="95" t="s">
        <v>1649</v>
      </c>
      <c r="B1155" s="113"/>
    </row>
    <row r="1156" spans="1:8" ht="12">
      <c r="A1156" s="93"/>
      <c r="B1156" s="85" t="s">
        <v>2190</v>
      </c>
      <c r="C1156" s="21" t="s">
        <v>2191</v>
      </c>
      <c r="D1156" s="162"/>
      <c r="E1156" s="21" t="s">
        <v>2192</v>
      </c>
      <c r="F1156" s="162" t="str">
        <f>IF(wskakunin_koutei01_KOUTEI_KAISUU="","",wskakunin_koutei01_KOUTEI_KAISUU)</f>
        <v/>
      </c>
    </row>
    <row r="1157" spans="1:8" ht="12">
      <c r="A1157" s="93"/>
      <c r="B1157" s="85" t="s">
        <v>2193</v>
      </c>
      <c r="C1157" s="21" t="s">
        <v>2194</v>
      </c>
      <c r="D1157" s="275"/>
      <c r="E1157" s="21" t="s">
        <v>2195</v>
      </c>
      <c r="F1157" s="275" t="str">
        <f>IF(wskakunin_koutei01_KOUTEI_DATE="","",wskakunin_koutei01_KOUTEI_DATE)</f>
        <v/>
      </c>
    </row>
    <row r="1158" spans="1:8" ht="12">
      <c r="A1158" s="93"/>
      <c r="B1158" s="85" t="s">
        <v>2196</v>
      </c>
      <c r="C1158" s="21" t="s">
        <v>2197</v>
      </c>
      <c r="D1158" s="162"/>
      <c r="E1158" s="21" t="s">
        <v>2198</v>
      </c>
      <c r="F1158" s="162" t="str">
        <f>IF(wskakunin_koutei01_KOUTEI_TEXT="","",wskakunin_koutei01_KOUTEI_TEXT)</f>
        <v/>
      </c>
    </row>
    <row r="1159" spans="1:8" ht="12">
      <c r="A1159" s="96"/>
      <c r="B1159" s="85"/>
      <c r="D1159" s="22"/>
      <c r="F1159" s="22"/>
    </row>
    <row r="1160" spans="1:8" ht="12">
      <c r="A1160" s="95" t="s">
        <v>2152</v>
      </c>
      <c r="B1160" s="113"/>
    </row>
    <row r="1161" spans="1:8" ht="12">
      <c r="A1161" s="93"/>
      <c r="B1161" s="85" t="s">
        <v>2190</v>
      </c>
      <c r="C1161" s="21" t="s">
        <v>2199</v>
      </c>
      <c r="D1161" s="162"/>
      <c r="E1161" s="21" t="s">
        <v>2200</v>
      </c>
      <c r="F1161" s="162" t="str">
        <f>IF(wskakunin_koutei02_KOUTEI_KAISUU="","",wskakunin_koutei02_KOUTEI_KAISUU)</f>
        <v/>
      </c>
    </row>
    <row r="1162" spans="1:8" ht="12">
      <c r="A1162" s="93"/>
      <c r="B1162" s="85" t="s">
        <v>2193</v>
      </c>
      <c r="C1162" s="21" t="s">
        <v>2201</v>
      </c>
      <c r="D1162" s="275"/>
      <c r="E1162" s="21" t="s">
        <v>2202</v>
      </c>
      <c r="F1162" s="275" t="str">
        <f>IF(wskakunin_koutei02_KOUTEI_DATE="","",wskakunin_koutei02_KOUTEI_DATE)</f>
        <v/>
      </c>
    </row>
    <row r="1163" spans="1:8" ht="12">
      <c r="A1163" s="93"/>
      <c r="B1163" s="85" t="s">
        <v>2196</v>
      </c>
      <c r="C1163" s="21" t="s">
        <v>2203</v>
      </c>
      <c r="D1163" s="162"/>
      <c r="E1163" s="21" t="s">
        <v>2204</v>
      </c>
      <c r="F1163" s="162" t="str">
        <f>IF(wskakunin_koutei02_KOUTEI_TEXT="","",wskakunin_koutei02_KOUTEI_TEXT)</f>
        <v/>
      </c>
    </row>
    <row r="1164" spans="1:8" ht="12">
      <c r="A1164" s="97"/>
      <c r="B1164" s="85"/>
      <c r="D1164" s="22"/>
      <c r="F1164" s="22"/>
    </row>
    <row r="1165" spans="1:8" ht="12">
      <c r="A1165" s="92" t="s">
        <v>2164</v>
      </c>
      <c r="B1165" s="47"/>
    </row>
    <row r="1166" spans="1:8" ht="12">
      <c r="A1166" s="93"/>
      <c r="B1166" s="85" t="s">
        <v>2190</v>
      </c>
      <c r="C1166" s="21" t="s">
        <v>2205</v>
      </c>
      <c r="D1166" s="162"/>
      <c r="E1166" s="21" t="s">
        <v>2206</v>
      </c>
      <c r="F1166" s="162" t="str">
        <f>IF(wskakunin_koutei03_KOUTEI_KAISUU="","",wskakunin_koutei03_KOUTEI_KAISUU)</f>
        <v/>
      </c>
    </row>
    <row r="1167" spans="1:8" ht="12">
      <c r="A1167" s="93"/>
      <c r="B1167" s="85" t="s">
        <v>2193</v>
      </c>
      <c r="C1167" s="21" t="s">
        <v>2207</v>
      </c>
      <c r="D1167" s="275"/>
      <c r="E1167" s="21" t="s">
        <v>2208</v>
      </c>
      <c r="F1167" s="275" t="str">
        <f>IF(wskakunin_koutei03_KOUTEI_DATE="","",wskakunin_koutei03_KOUTEI_DATE)</f>
        <v/>
      </c>
    </row>
    <row r="1168" spans="1:8" ht="12">
      <c r="A1168" s="93"/>
      <c r="B1168" s="85" t="s">
        <v>2196</v>
      </c>
      <c r="C1168" s="21" t="s">
        <v>2209</v>
      </c>
      <c r="D1168" s="162"/>
      <c r="E1168" s="21" t="s">
        <v>2210</v>
      </c>
      <c r="F1168" s="162" t="str">
        <f>IF(wskakunin_koutei03_KOUTEI_TEXT="","",wskakunin_koutei03_KOUTEI_TEXT)</f>
        <v/>
      </c>
    </row>
    <row r="1169" spans="1:6" ht="12">
      <c r="A1169" s="97"/>
      <c r="B1169" s="85"/>
      <c r="D1169" s="22"/>
      <c r="F1169" s="22"/>
    </row>
    <row r="1170" spans="1:6" ht="12">
      <c r="A1170" s="92" t="s">
        <v>2211</v>
      </c>
      <c r="B1170" s="47"/>
    </row>
    <row r="1171" spans="1:6" ht="12">
      <c r="A1171" s="93"/>
      <c r="B1171" s="85" t="s">
        <v>2190</v>
      </c>
      <c r="C1171" s="21" t="s">
        <v>2212</v>
      </c>
      <c r="D1171" s="162"/>
      <c r="E1171" s="21" t="s">
        <v>2213</v>
      </c>
      <c r="F1171" s="162" t="str">
        <f>IF(wskakunin_koutei04_KOUTEI_KAISUU="","",wskakunin_koutei04_KOUTEI_KAISUU)</f>
        <v/>
      </c>
    </row>
    <row r="1172" spans="1:6" ht="12">
      <c r="A1172" s="93"/>
      <c r="B1172" s="85" t="s">
        <v>2193</v>
      </c>
      <c r="C1172" s="21" t="s">
        <v>2214</v>
      </c>
      <c r="D1172" s="275"/>
      <c r="E1172" s="21" t="s">
        <v>2215</v>
      </c>
      <c r="F1172" s="275" t="str">
        <f>IF(wskakunin_koutei04_KOUTEI_DATE="","",wskakunin_koutei04_KOUTEI_DATE)</f>
        <v/>
      </c>
    </row>
    <row r="1173" spans="1:6" ht="12">
      <c r="A1173" s="93"/>
      <c r="B1173" s="85" t="s">
        <v>2196</v>
      </c>
      <c r="C1173" s="21" t="s">
        <v>2216</v>
      </c>
      <c r="D1173" s="162"/>
      <c r="E1173" s="21" t="s">
        <v>2217</v>
      </c>
      <c r="F1173" s="162" t="str">
        <f>IF(wskakunin_koutei04_KOUTEI_TEXT="","",wskakunin_koutei04_KOUTEI_TEXT)</f>
        <v/>
      </c>
    </row>
    <row r="1174" spans="1:6" ht="12">
      <c r="A1174" s="98"/>
      <c r="B1174" s="281"/>
      <c r="D1174" s="22"/>
      <c r="F1174" s="22"/>
    </row>
    <row r="1175" spans="1:6" ht="12">
      <c r="A1175" s="280" t="s">
        <v>2218</v>
      </c>
      <c r="B1175" s="282"/>
      <c r="C1175" s="21" t="s">
        <v>2219</v>
      </c>
      <c r="D1175" s="162" t="s">
        <v>112</v>
      </c>
      <c r="E1175" s="21" t="s">
        <v>2220</v>
      </c>
      <c r="F1175" s="162" t="str">
        <f>IF(wskakunin_BOUKA_SETUBI_FLAG="","",wskakunin_BOUKA_SETUBI_FLAG)</f>
        <v/>
      </c>
    </row>
    <row r="1176" spans="1:6" ht="12">
      <c r="A1176" s="280"/>
      <c r="B1176" s="85" t="s">
        <v>2121</v>
      </c>
      <c r="D1176" s="22"/>
      <c r="E1176" s="21" t="s">
        <v>2221</v>
      </c>
      <c r="F1176" s="162" t="str">
        <f>IF(wskakunin_BOUKA_SETUBI_FLAG=1,"■","□")</f>
        <v>□</v>
      </c>
    </row>
    <row r="1177" spans="1:6" ht="12">
      <c r="A1177" s="280"/>
      <c r="B1177" s="85" t="s">
        <v>2123</v>
      </c>
      <c r="D1177" s="22"/>
      <c r="E1177" s="21" t="s">
        <v>2222</v>
      </c>
      <c r="F1177" s="162" t="str">
        <f>IF(wskakunin_BOUKA_SETUBI_FLAG="","□",IF(wskakunin_BOUKA_SETUBI_FLAG=0,"■","□"))</f>
        <v>□</v>
      </c>
    </row>
    <row r="1178" spans="1:6" ht="12">
      <c r="A1178" s="280"/>
      <c r="B1178" s="152"/>
      <c r="D1178" s="22"/>
      <c r="F1178" s="22"/>
    </row>
    <row r="1179" spans="1:6" ht="12">
      <c r="A1179" s="33" t="s">
        <v>2223</v>
      </c>
      <c r="B1179" s="99"/>
      <c r="C1179" s="21" t="s">
        <v>2224</v>
      </c>
      <c r="D1179" s="162" t="s">
        <v>112</v>
      </c>
      <c r="E1179" s="21" t="s">
        <v>2225</v>
      </c>
      <c r="F1179" s="162" t="str">
        <f>IF(wskakunin_P3_SONOTA="","",wskakunin_P3_SONOTA)</f>
        <v/>
      </c>
    </row>
    <row r="1180" spans="1:6" ht="12">
      <c r="A1180" s="34"/>
      <c r="B1180" s="100"/>
      <c r="D1180" s="22"/>
      <c r="F1180" s="22"/>
    </row>
    <row r="1181" spans="1:6" ht="12">
      <c r="A1181" s="101" t="s">
        <v>2226</v>
      </c>
      <c r="B1181" s="102"/>
      <c r="C1181" s="21" t="s">
        <v>2227</v>
      </c>
      <c r="D1181" s="162" t="s">
        <v>112</v>
      </c>
      <c r="E1181" s="21" t="s">
        <v>2228</v>
      </c>
      <c r="F1181" s="162" t="str">
        <f>IF(wskakunin_P3_BIKOU="","",wskakunin_P3_BIKOU)</f>
        <v/>
      </c>
    </row>
    <row r="1182" spans="1:6" ht="12">
      <c r="A1182" s="54"/>
      <c r="B1182" s="66"/>
    </row>
    <row r="1185" spans="1:7" ht="12">
      <c r="A1185" s="189" t="s">
        <v>2229</v>
      </c>
      <c r="B1185" s="109" t="s">
        <v>1717</v>
      </c>
    </row>
    <row r="1186" spans="1:7" ht="12">
      <c r="A1186" s="91" t="s">
        <v>2230</v>
      </c>
      <c r="B1186" s="112"/>
    </row>
    <row r="1187" spans="1:7" ht="12">
      <c r="A1187" s="190" t="s">
        <v>2231</v>
      </c>
      <c r="B1187" s="191"/>
    </row>
    <row r="1188" spans="1:7" ht="12">
      <c r="A1188" s="53"/>
      <c r="B1188" s="192" t="s">
        <v>2232</v>
      </c>
      <c r="E1188" s="37" t="s">
        <v>2233</v>
      </c>
      <c r="F1188" s="47" t="str">
        <f>IF(wskakunin_TOKUREI_1="1","第１号",IF(wskakunin_TOKUREI_2="1","第２号",IF(wskakunin_TOKUREI_3="1","第３号",IF(wskakunin_TOKUREI_4="1","第４号",""))))</f>
        <v>第４号</v>
      </c>
    </row>
    <row r="1189" spans="1:7" ht="12">
      <c r="A1189" s="53"/>
      <c r="B1189" s="193" t="s">
        <v>2234</v>
      </c>
      <c r="C1189" s="37" t="s">
        <v>2235</v>
      </c>
      <c r="D1189" s="256" t="s">
        <v>112</v>
      </c>
    </row>
    <row r="1190" spans="1:7" ht="12">
      <c r="A1190" s="53"/>
      <c r="B1190" s="193" t="s">
        <v>2236</v>
      </c>
      <c r="C1190" s="37" t="s">
        <v>2237</v>
      </c>
      <c r="D1190" s="256" t="s">
        <v>112</v>
      </c>
    </row>
    <row r="1191" spans="1:7" ht="12">
      <c r="A1191" s="53"/>
      <c r="B1191" s="193" t="s">
        <v>2238</v>
      </c>
      <c r="C1191" s="37" t="s">
        <v>2239</v>
      </c>
      <c r="D1191" s="256" t="s">
        <v>112</v>
      </c>
    </row>
    <row r="1192" spans="1:7" ht="12">
      <c r="A1192" s="53"/>
      <c r="B1192" s="193" t="s">
        <v>2240</v>
      </c>
      <c r="C1192" s="37" t="s">
        <v>2241</v>
      </c>
      <c r="D1192" s="256" t="s">
        <v>2242</v>
      </c>
    </row>
    <row r="1193" spans="1:7" ht="12">
      <c r="A1193" s="194"/>
      <c r="B1193" s="192"/>
    </row>
    <row r="1194" spans="1:7" ht="12">
      <c r="A1194" s="51" t="s">
        <v>2243</v>
      </c>
      <c r="B1194" s="52"/>
      <c r="C1194" s="21" t="s">
        <v>2244</v>
      </c>
      <c r="D1194" s="256" t="s">
        <v>112</v>
      </c>
      <c r="E1194" s="21" t="s">
        <v>2245</v>
      </c>
      <c r="F1194" s="47" t="str">
        <f>IF(wskakunin_KENTIKU_NINSYO_NO="","",wskakunin_KENTIKU_NINSYO_NO)</f>
        <v/>
      </c>
    </row>
    <row r="1195" spans="1:7" ht="12">
      <c r="A1195" s="187"/>
      <c r="B1195" s="188"/>
    </row>
    <row r="1196" spans="1:7" ht="12">
      <c r="A1196" s="195" t="s">
        <v>2246</v>
      </c>
      <c r="B1196" s="52"/>
      <c r="C1196" s="21" t="s">
        <v>2247</v>
      </c>
      <c r="D1196" s="278">
        <v>45371</v>
      </c>
      <c r="E1196" s="21" t="s">
        <v>2248</v>
      </c>
      <c r="F1196" s="278">
        <f ca="1">IF(chk_JOB_KIND_kakunin=1,"",IF(wskakunin_KOUJI_TYAKUSYU_DATE="","",wskakunin_KOUJI_TYAKUSYU_DATE))</f>
        <v>45371</v>
      </c>
      <c r="G1196" s="21" t="s">
        <v>2249</v>
      </c>
    </row>
    <row r="1197" spans="1:7" ht="12">
      <c r="A1197" s="196"/>
      <c r="B1197" s="188"/>
      <c r="D1197" s="108"/>
    </row>
    <row r="1198" spans="1:7" ht="12">
      <c r="A1198" s="195" t="s">
        <v>2250</v>
      </c>
      <c r="B1198" s="52"/>
      <c r="D1198" s="108"/>
    </row>
    <row r="1199" spans="1:7" ht="12">
      <c r="A1199" s="251"/>
      <c r="B1199" s="77" t="s">
        <v>2251</v>
      </c>
      <c r="D1199" s="108"/>
      <c r="E1199" s="21" t="s">
        <v>2252</v>
      </c>
      <c r="F1199" s="278">
        <f ca="1">IF(chk_JOB_KIND_kakunin=1,"",IF(wskakunin_KOUJI_KANRYOU_YOTEI_DATE="","",wskakunin_KOUJI_KANRYOU_YOTEI_DATE))</f>
        <v>45416</v>
      </c>
    </row>
    <row r="1200" spans="1:7" ht="12">
      <c r="A1200" s="195" t="s">
        <v>2253</v>
      </c>
      <c r="B1200" s="52"/>
    </row>
    <row r="1201" spans="1:7" ht="12">
      <c r="A1201" s="53"/>
      <c r="B1201" s="193" t="s">
        <v>2254</v>
      </c>
      <c r="C1201" s="21" t="s">
        <v>2255</v>
      </c>
      <c r="D1201" s="256" t="s">
        <v>2256</v>
      </c>
      <c r="E1201" s="21" t="s">
        <v>2257</v>
      </c>
      <c r="F1201" s="47" t="str">
        <f>IF(wskakunin_TOKUTEI_KOUTEI="","",wskakunin_TOKUTEI_KOUTEI)</f>
        <v>土台、柱、はり及び筋かいを金物等により接合する工事の工程</v>
      </c>
      <c r="G1201" s="21" t="s">
        <v>2258</v>
      </c>
    </row>
    <row r="1202" spans="1:7" ht="12">
      <c r="A1202" s="53"/>
      <c r="B1202" s="192" t="s">
        <v>2259</v>
      </c>
      <c r="E1202" s="21" t="s">
        <v>2260</v>
      </c>
      <c r="F1202" s="47" t="str">
        <f ca="1">IF(chk_JOB_KIND_kakunin=1,IF(wskakunin_koutei01_KOUTEI_TEXT="","",wskakunin_koutei01_KOUTEI_TEXT),cst_wskakunin_TOKUTEI_KOUTEI)</f>
        <v>土台、柱、はり及び筋かいを金物等により接合する工事の工程</v>
      </c>
    </row>
    <row r="1203" spans="1:7" ht="12">
      <c r="A1203" s="53"/>
      <c r="B1203" s="192" t="s">
        <v>2261</v>
      </c>
      <c r="E1203" s="21" t="s">
        <v>2262</v>
      </c>
      <c r="F1203" s="47" t="str">
        <f ca="1">IF(chk_JOB_KIND_kakunin=1,IF(wskakunin_koutei02_KOUTEI_TEXT="","",wskakunin_koutei02_KOUTEI_TEXT),cst_wskakunin_TOKUTEI_KOUTEI)</f>
        <v>土台、柱、はり及び筋かいを金物等により接合する工事の工程</v>
      </c>
    </row>
    <row r="1204" spans="1:7" ht="12">
      <c r="A1204" s="53"/>
      <c r="B1204" s="193" t="s">
        <v>2263</v>
      </c>
      <c r="C1204" s="21" t="s">
        <v>2264</v>
      </c>
      <c r="D1204" s="278">
        <v>45383</v>
      </c>
      <c r="E1204" s="21" t="s">
        <v>2265</v>
      </c>
      <c r="F1204" s="278">
        <f ca="1">IF(chk_JOB_KIND_kakunin=1,"",IF(wskakunin_TOKUTEI_KOUJI_KANRYOU_DATE="","",wskakunin_TOKUTEI_KOUJI_KANRYOU_DATE))</f>
        <v>45383</v>
      </c>
      <c r="G1204" s="21" t="s">
        <v>2249</v>
      </c>
    </row>
    <row r="1205" spans="1:7" ht="12">
      <c r="A1205" s="53"/>
      <c r="B1205" s="76"/>
      <c r="D1205" s="108"/>
    </row>
    <row r="1206" spans="1:7" ht="12">
      <c r="A1206" s="53"/>
      <c r="B1206" s="193" t="s">
        <v>2266</v>
      </c>
      <c r="C1206" s="21" t="s">
        <v>2267</v>
      </c>
      <c r="D1206" s="277">
        <v>100</v>
      </c>
      <c r="E1206" s="21" t="s">
        <v>2268</v>
      </c>
      <c r="F1206" s="47">
        <f ca="1">IF(chk_JOB_KIND_kakunin=1,"",IF(wskakunin_KENSA_YUKA_MENSEKI="","",wskakunin_KENSA_YUKA_MENSEKI))</f>
        <v>100</v>
      </c>
      <c r="G1206" s="21" t="s">
        <v>2249</v>
      </c>
    </row>
    <row r="1207" spans="1:7" ht="12">
      <c r="A1207" s="187"/>
      <c r="B1207" s="198"/>
    </row>
    <row r="1208" spans="1:7" ht="12">
      <c r="A1208" s="195" t="s">
        <v>2269</v>
      </c>
      <c r="B1208" s="52"/>
    </row>
    <row r="1209" spans="1:7" ht="12">
      <c r="A1209" s="213" t="s">
        <v>1649</v>
      </c>
      <c r="B1209" s="191"/>
    </row>
    <row r="1210" spans="1:7" ht="12">
      <c r="A1210" s="214"/>
      <c r="B1210" s="192" t="s">
        <v>2190</v>
      </c>
      <c r="C1210" s="21" t="s">
        <v>2270</v>
      </c>
      <c r="D1210" s="256" t="s">
        <v>112</v>
      </c>
      <c r="E1210" s="21" t="s">
        <v>2271</v>
      </c>
      <c r="F1210" s="47" t="str">
        <f>IF(wskakunin_koutei_izen01_KOUTEI_KAISUU="","",wskakunin_koutei_izen01_KOUTEI_KAISUU)</f>
        <v/>
      </c>
    </row>
    <row r="1211" spans="1:7" ht="12">
      <c r="A1211" s="214"/>
      <c r="B1211" s="193" t="s">
        <v>2254</v>
      </c>
      <c r="C1211" s="21" t="s">
        <v>2272</v>
      </c>
      <c r="D1211" s="256" t="s">
        <v>112</v>
      </c>
      <c r="E1211" s="21" t="s">
        <v>2273</v>
      </c>
      <c r="F1211" s="47" t="str">
        <f>IF(wskakunin_koutei_izen01_KOUTEI_TEXT="","",wskakunin_koutei_izen01_KOUTEI_TEXT)</f>
        <v/>
      </c>
    </row>
    <row r="1212" spans="1:7" ht="12">
      <c r="A1212" s="214"/>
      <c r="B1212" s="199" t="s">
        <v>2274</v>
      </c>
      <c r="C1212" s="21" t="s">
        <v>2275</v>
      </c>
      <c r="D1212" s="256" t="s">
        <v>112</v>
      </c>
      <c r="E1212" s="21" t="s">
        <v>2276</v>
      </c>
      <c r="F1212" s="47" t="str">
        <f>IF(wskakunin_koutei_izen01_INTER_ISSUE_NAME="","",wskakunin_koutei_izen01_INTER_ISSUE_NAME)</f>
        <v/>
      </c>
    </row>
    <row r="1213" spans="1:7" ht="12">
      <c r="A1213" s="214"/>
      <c r="B1213" s="199" t="s">
        <v>2277</v>
      </c>
      <c r="C1213" s="21" t="s">
        <v>2278</v>
      </c>
      <c r="D1213" s="256" t="s">
        <v>112</v>
      </c>
      <c r="E1213" s="21" t="s">
        <v>2279</v>
      </c>
      <c r="F1213" s="47" t="str">
        <f>IF(wskakunin_koutei_izen01_INTER_ISSUE_NO="","",wskakunin_koutei_izen01_INTER_ISSUE_NO)</f>
        <v/>
      </c>
    </row>
    <row r="1214" spans="1:7" ht="12">
      <c r="A1214" s="214"/>
      <c r="B1214" s="199" t="s">
        <v>2280</v>
      </c>
      <c r="C1214" s="21" t="s">
        <v>2281</v>
      </c>
      <c r="D1214" s="278" t="s">
        <v>112</v>
      </c>
      <c r="E1214" s="21" t="s">
        <v>2282</v>
      </c>
      <c r="F1214" s="278" t="str">
        <f>IF(wskakunin_koutei_izen01_INTER_ISSUE_DATE="","",wskakunin_koutei_izen01_INTER_ISSUE_DATE)</f>
        <v/>
      </c>
    </row>
    <row r="1215" spans="1:7" ht="12">
      <c r="A1215" s="215"/>
      <c r="B1215" s="192"/>
    </row>
    <row r="1216" spans="1:7" ht="12">
      <c r="A1216" s="214" t="s">
        <v>2152</v>
      </c>
      <c r="B1216" s="163"/>
    </row>
    <row r="1217" spans="1:6" ht="12">
      <c r="A1217" s="214"/>
      <c r="B1217" s="192" t="s">
        <v>2190</v>
      </c>
      <c r="C1217" s="21" t="s">
        <v>2283</v>
      </c>
      <c r="D1217" s="256"/>
      <c r="E1217" s="21" t="s">
        <v>2284</v>
      </c>
      <c r="F1217" s="47" t="str">
        <f>IF(wskakunin_koutei_izen02_KOUTEI_KAISUU="","",wskakunin_koutei_izen02_KOUTEI_KAISUU)</f>
        <v/>
      </c>
    </row>
    <row r="1218" spans="1:6" ht="12">
      <c r="A1218" s="214"/>
      <c r="B1218" s="193" t="s">
        <v>2254</v>
      </c>
      <c r="C1218" s="21" t="s">
        <v>2285</v>
      </c>
      <c r="D1218" s="256"/>
      <c r="E1218" s="21" t="s">
        <v>2286</v>
      </c>
      <c r="F1218" s="47" t="str">
        <f>IF(wskakunin_koutei_izen02_KOUTEI_TEXT="","",wskakunin_koutei_izen02_KOUTEI_TEXT)</f>
        <v/>
      </c>
    </row>
    <row r="1219" spans="1:6" ht="12">
      <c r="A1219" s="214"/>
      <c r="B1219" s="199" t="s">
        <v>2274</v>
      </c>
      <c r="C1219" s="21" t="s">
        <v>2287</v>
      </c>
      <c r="D1219" s="256"/>
      <c r="E1219" s="21" t="s">
        <v>2288</v>
      </c>
      <c r="F1219" s="47" t="str">
        <f>IF(wskakunin_koutei_izen02_INTER_ISSUE_NAME="","",wskakunin_koutei_izen02_INTER_ISSUE_NAME)</f>
        <v/>
      </c>
    </row>
    <row r="1220" spans="1:6" ht="12">
      <c r="A1220" s="214"/>
      <c r="B1220" s="199" t="s">
        <v>2277</v>
      </c>
      <c r="C1220" s="21" t="s">
        <v>2289</v>
      </c>
      <c r="D1220" s="256"/>
      <c r="E1220" s="21" t="s">
        <v>2290</v>
      </c>
      <c r="F1220" s="47" t="str">
        <f>IF(wskakunin_koutei_izen02_INTER_ISSUE_NO="","",wskakunin_koutei_izen02_INTER_ISSUE_NO)</f>
        <v/>
      </c>
    </row>
    <row r="1221" spans="1:6" ht="12">
      <c r="A1221" s="214"/>
      <c r="B1221" s="199" t="s">
        <v>2280</v>
      </c>
      <c r="C1221" s="21" t="s">
        <v>2291</v>
      </c>
      <c r="D1221" s="278"/>
      <c r="E1221" s="21" t="s">
        <v>2292</v>
      </c>
      <c r="F1221" s="278" t="str">
        <f>IF(wskakunin_koutei_izen02_INTER_ISSUE_DATE="","",wskakunin_koutei_izen02_INTER_ISSUE_DATE)</f>
        <v/>
      </c>
    </row>
    <row r="1222" spans="1:6" ht="12">
      <c r="A1222" s="214"/>
      <c r="B1222" s="77"/>
    </row>
    <row r="1223" spans="1:6" ht="12">
      <c r="A1223" s="213" t="s">
        <v>2164</v>
      </c>
      <c r="B1223" s="191"/>
    </row>
    <row r="1224" spans="1:6" ht="12">
      <c r="A1224" s="214"/>
      <c r="B1224" s="192" t="s">
        <v>2190</v>
      </c>
      <c r="C1224" s="21" t="s">
        <v>2293</v>
      </c>
      <c r="D1224" s="256"/>
      <c r="E1224" s="21" t="s">
        <v>2294</v>
      </c>
      <c r="F1224" s="47" t="str">
        <f>IF(wskakunin_koutei_izen03_KOUTEI_KAISUU="","",wskakunin_koutei_izen03_KOUTEI_KAISUU)</f>
        <v/>
      </c>
    </row>
    <row r="1225" spans="1:6" ht="12">
      <c r="A1225" s="214"/>
      <c r="B1225" s="193" t="s">
        <v>2254</v>
      </c>
      <c r="C1225" s="21" t="s">
        <v>2295</v>
      </c>
      <c r="D1225" s="256"/>
      <c r="E1225" s="21" t="s">
        <v>2296</v>
      </c>
      <c r="F1225" s="47" t="str">
        <f>IF(wskakunin_koutei_izen03_KOUTEI_TEXT="","",wskakunin_koutei_izen03_KOUTEI_TEXT)</f>
        <v/>
      </c>
    </row>
    <row r="1226" spans="1:6" ht="12">
      <c r="A1226" s="214"/>
      <c r="B1226" s="199" t="s">
        <v>2274</v>
      </c>
      <c r="C1226" s="21" t="s">
        <v>2297</v>
      </c>
      <c r="D1226" s="256"/>
      <c r="E1226" s="21" t="s">
        <v>2298</v>
      </c>
      <c r="F1226" s="47" t="str">
        <f>IF(wskakunin_koutei_izen03_INTER_ISSUE_NAME="","",wskakunin_koutei_izen03_INTER_ISSUE_NAME)</f>
        <v/>
      </c>
    </row>
    <row r="1227" spans="1:6" ht="12">
      <c r="A1227" s="214"/>
      <c r="B1227" s="199" t="s">
        <v>2277</v>
      </c>
      <c r="C1227" s="21" t="s">
        <v>2299</v>
      </c>
      <c r="D1227" s="256"/>
      <c r="E1227" s="21" t="s">
        <v>2300</v>
      </c>
      <c r="F1227" s="47" t="str">
        <f>IF(wskakunin_koutei_izen03_INTER_ISSUE_NO="","",wskakunin_koutei_izen03_INTER_ISSUE_NO)</f>
        <v/>
      </c>
    </row>
    <row r="1228" spans="1:6" ht="12">
      <c r="A1228" s="214"/>
      <c r="B1228" s="199" t="s">
        <v>2280</v>
      </c>
      <c r="C1228" s="21" t="s">
        <v>2301</v>
      </c>
      <c r="D1228" s="276"/>
      <c r="E1228" s="21" t="s">
        <v>2302</v>
      </c>
      <c r="F1228" s="276" t="str">
        <f>IF(wskakunin_koutei_izen03_INTER_ISSUE_DATE="","",wskakunin_koutei_izen03_INTER_ISSUE_DATE)</f>
        <v/>
      </c>
    </row>
    <row r="1229" spans="1:6" ht="12">
      <c r="A1229" s="215"/>
      <c r="B1229" s="192"/>
    </row>
    <row r="1230" spans="1:6" ht="12">
      <c r="A1230" s="213" t="s">
        <v>2211</v>
      </c>
      <c r="B1230" s="191"/>
    </row>
    <row r="1231" spans="1:6" ht="12">
      <c r="A1231" s="214"/>
      <c r="B1231" s="192" t="s">
        <v>2190</v>
      </c>
      <c r="C1231" s="21" t="s">
        <v>2303</v>
      </c>
      <c r="D1231" s="256"/>
      <c r="E1231" s="21" t="s">
        <v>2304</v>
      </c>
      <c r="F1231" s="47" t="str">
        <f>IF(wskakunin_koutei_izen04_KOUTEI_KAISUU="","",wskakunin_koutei_izen04_KOUTEI_KAISUU)</f>
        <v/>
      </c>
    </row>
    <row r="1232" spans="1:6" ht="12">
      <c r="A1232" s="214"/>
      <c r="B1232" s="193" t="s">
        <v>2254</v>
      </c>
      <c r="C1232" s="21" t="s">
        <v>2305</v>
      </c>
      <c r="D1232" s="256"/>
      <c r="E1232" s="21" t="s">
        <v>2306</v>
      </c>
      <c r="F1232" s="47" t="str">
        <f>IF(wskakunin_koutei_izen04_KOUTEI_TEXT="","",wskakunin_koutei_izen04_KOUTEI_TEXT)</f>
        <v/>
      </c>
    </row>
    <row r="1233" spans="1:7" ht="12">
      <c r="A1233" s="214"/>
      <c r="B1233" s="199" t="s">
        <v>2274</v>
      </c>
      <c r="C1233" s="21" t="s">
        <v>2307</v>
      </c>
      <c r="D1233" s="256"/>
      <c r="E1233" s="21" t="s">
        <v>2308</v>
      </c>
      <c r="F1233" s="47" t="str">
        <f>IF(wskakunin_koutei_izen04_INTER_ISSUE_NAME="","",wskakunin_koutei_izen04_INTER_ISSUE_NAME)</f>
        <v/>
      </c>
    </row>
    <row r="1234" spans="1:7" ht="12">
      <c r="A1234" s="214"/>
      <c r="B1234" s="199" t="s">
        <v>2277</v>
      </c>
      <c r="C1234" s="21" t="s">
        <v>2309</v>
      </c>
      <c r="D1234" s="256"/>
      <c r="E1234" s="21" t="s">
        <v>2310</v>
      </c>
      <c r="F1234" s="47" t="str">
        <f>IF(wskakunin_koutei_izen04_INTER_ISSUE_NO="","",wskakunin_koutei_izen04_INTER_ISSUE_NO)</f>
        <v/>
      </c>
    </row>
    <row r="1235" spans="1:7" ht="12">
      <c r="A1235" s="214"/>
      <c r="B1235" s="199" t="s">
        <v>2280</v>
      </c>
      <c r="C1235" s="21" t="s">
        <v>2311</v>
      </c>
      <c r="D1235" s="276"/>
      <c r="E1235" s="21" t="s">
        <v>2312</v>
      </c>
      <c r="F1235" s="276" t="str">
        <f>IF(wskakunin_koutei_izen04_INTER_ISSUE_DATE="","",wskakunin_koutei_izen04_INTER_ISSUE_DATE)</f>
        <v/>
      </c>
    </row>
    <row r="1236" spans="1:7" ht="12">
      <c r="A1236" s="215"/>
      <c r="B1236" s="192"/>
    </row>
    <row r="1237" spans="1:7" ht="12">
      <c r="A1237" s="213" t="s">
        <v>2313</v>
      </c>
      <c r="B1237" s="191" t="s">
        <v>2314</v>
      </c>
      <c r="G1237" s="21" t="s">
        <v>2249</v>
      </c>
    </row>
    <row r="1238" spans="1:7" ht="12">
      <c r="A1238" s="214"/>
      <c r="B1238" s="192" t="s">
        <v>2315</v>
      </c>
      <c r="E1238" s="21" t="s">
        <v>2316</v>
      </c>
      <c r="F1238" s="47" t="str">
        <f ca="1">IF(chk_JOB_KIND_kakunin=1,"",cst_wskakunin_koutei_izen01_KOUTEI_KAISUU)</f>
        <v/>
      </c>
    </row>
    <row r="1239" spans="1:7" ht="12">
      <c r="A1239" s="214"/>
      <c r="B1239" s="193" t="s">
        <v>2317</v>
      </c>
      <c r="E1239" s="21" t="s">
        <v>2318</v>
      </c>
      <c r="F1239" s="47" t="str">
        <f ca="1">IF(chk_JOB_KIND_kakunin=1,"",cst_wskakunin_koutei_izen01_KOUTEI_TEXT)</f>
        <v/>
      </c>
    </row>
    <row r="1240" spans="1:7" ht="12">
      <c r="A1240" s="214"/>
      <c r="B1240" s="199" t="s">
        <v>2319</v>
      </c>
      <c r="E1240" s="21" t="s">
        <v>2320</v>
      </c>
      <c r="F1240" s="47" t="str">
        <f ca="1">IF(chk_JOB_KIND_kakunin=1,"",cst_wskakunin_koutei_izen01_INTER_ISSUE_NAME)</f>
        <v/>
      </c>
    </row>
    <row r="1241" spans="1:7" ht="12">
      <c r="A1241" s="214"/>
      <c r="B1241" s="199" t="s">
        <v>2321</v>
      </c>
      <c r="E1241" s="21" t="s">
        <v>2322</v>
      </c>
      <c r="F1241" s="47" t="str">
        <f ca="1">IF(chk_JOB_KIND_kakunin=1,"",cst_wskakunin_koutei_izen01_INTER_ISSUE_NO)</f>
        <v/>
      </c>
    </row>
    <row r="1242" spans="1:7" ht="12">
      <c r="A1242" s="214"/>
      <c r="B1242" s="199" t="s">
        <v>2323</v>
      </c>
      <c r="E1242" s="21" t="s">
        <v>2324</v>
      </c>
      <c r="F1242" s="278" t="str">
        <f ca="1">IF(chk_JOB_KIND_kakunin=1,"",cst_wskakunin_koutei_izen01_INTER_ISSUE_DATE)</f>
        <v/>
      </c>
    </row>
    <row r="1243" spans="1:7" ht="12">
      <c r="A1243" s="214"/>
      <c r="B1243" s="192"/>
    </row>
    <row r="1244" spans="1:7" ht="12">
      <c r="A1244" s="213" t="s">
        <v>2313</v>
      </c>
      <c r="B1244" s="191" t="s">
        <v>2325</v>
      </c>
      <c r="G1244" s="21" t="s">
        <v>2326</v>
      </c>
    </row>
    <row r="1245" spans="1:7" ht="12">
      <c r="A1245" s="214"/>
      <c r="B1245" s="192" t="s">
        <v>2315</v>
      </c>
      <c r="E1245" s="21" t="s">
        <v>2327</v>
      </c>
      <c r="F1245" s="47" t="str">
        <f ca="1">IF(chk_INTER1_state_in_conf=1,cst_wskakunin_koutei01_KOUTEI_KAISUU,"")</f>
        <v/>
      </c>
    </row>
    <row r="1246" spans="1:7" ht="12">
      <c r="A1246" s="214"/>
      <c r="B1246" s="193" t="s">
        <v>2317</v>
      </c>
      <c r="E1246" s="21" t="s">
        <v>2328</v>
      </c>
      <c r="F1246" s="47" t="str">
        <f ca="1">IF(chk_INTER1_state_in_conf=1,cst_wskakunin_koutei01_KOUTEI_TEXT,"")</f>
        <v/>
      </c>
    </row>
    <row r="1247" spans="1:7" ht="12">
      <c r="A1247" s="214"/>
      <c r="B1247" s="199" t="s">
        <v>2319</v>
      </c>
      <c r="E1247" s="21" t="s">
        <v>2329</v>
      </c>
      <c r="F1247" s="47" t="str">
        <f ca="1">IF(chk_INTER1_state_in_conf=1,cst_wskakunin_KIKAN_NAME,"")</f>
        <v/>
      </c>
    </row>
    <row r="1248" spans="1:7" ht="12">
      <c r="A1248" s="214"/>
      <c r="B1248" s="199" t="s">
        <v>2321</v>
      </c>
      <c r="E1248" s="21" t="s">
        <v>2330</v>
      </c>
      <c r="F1248" s="47" t="str">
        <f ca="1">IF(chk_INTER1_state_in_conf=1,"第   KAK建合        号","")</f>
        <v/>
      </c>
    </row>
    <row r="1249" spans="1:7" ht="12">
      <c r="A1249" s="214"/>
      <c r="B1249" s="199" t="s">
        <v>2323</v>
      </c>
      <c r="E1249" s="21" t="s">
        <v>2331</v>
      </c>
      <c r="F1249" s="278" t="str">
        <f ca="1">IF(chk_INTER1_state_in_conf=1,"","")</f>
        <v/>
      </c>
    </row>
    <row r="1250" spans="1:7" ht="12">
      <c r="A1250" s="215"/>
      <c r="B1250" s="192"/>
    </row>
    <row r="1251" spans="1:7" ht="12">
      <c r="A1251" s="213" t="s">
        <v>2332</v>
      </c>
      <c r="B1251" s="191" t="s">
        <v>2314</v>
      </c>
      <c r="G1251" s="21" t="s">
        <v>2249</v>
      </c>
    </row>
    <row r="1252" spans="1:7" ht="12">
      <c r="A1252" s="214"/>
      <c r="B1252" s="192" t="s">
        <v>2315</v>
      </c>
      <c r="E1252" s="21" t="s">
        <v>2333</v>
      </c>
      <c r="F1252" s="47" t="str">
        <f ca="1">IF(chk_JOB_KIND_kakunin=1,"",cst_wskakunin_koutei_izen02_KOUTEI_KAISUU)</f>
        <v/>
      </c>
    </row>
    <row r="1253" spans="1:7" ht="12">
      <c r="A1253" s="214"/>
      <c r="B1253" s="193" t="s">
        <v>2317</v>
      </c>
      <c r="E1253" s="21" t="s">
        <v>2334</v>
      </c>
      <c r="F1253" s="47" t="str">
        <f ca="1">IF(chk_JOB_KIND_kakunin=1,"",cst_wskakunin_koutei_izen02_KOUTEI_TEXT)</f>
        <v/>
      </c>
    </row>
    <row r="1254" spans="1:7" ht="12">
      <c r="A1254" s="214"/>
      <c r="B1254" s="199" t="s">
        <v>2319</v>
      </c>
      <c r="E1254" s="21" t="s">
        <v>2335</v>
      </c>
      <c r="F1254" s="47" t="str">
        <f ca="1">IF(chk_JOB_KIND_kakunin=1,"",cst_wskakunin_koutei_izen02_INTER_ISSUE_NAME)</f>
        <v/>
      </c>
    </row>
    <row r="1255" spans="1:7" ht="12">
      <c r="A1255" s="214"/>
      <c r="B1255" s="199" t="s">
        <v>2321</v>
      </c>
      <c r="E1255" s="21" t="s">
        <v>2336</v>
      </c>
      <c r="F1255" s="47" t="str">
        <f ca="1">IF(chk_JOB_KIND_kakunin=1,"",cst_wskakunin_koutei_izen02_INTER_ISSUE_NO)</f>
        <v/>
      </c>
    </row>
    <row r="1256" spans="1:7" ht="12">
      <c r="A1256" s="214"/>
      <c r="B1256" s="199" t="s">
        <v>2323</v>
      </c>
      <c r="E1256" s="21" t="s">
        <v>2337</v>
      </c>
      <c r="F1256" s="278" t="str">
        <f ca="1">IF(chk_JOB_KIND_kakunin=1,"",cst_wskakunin_koutei_izen02_INTER_ISSUE_DATE)</f>
        <v/>
      </c>
    </row>
    <row r="1257" spans="1:7" ht="12">
      <c r="A1257" s="214"/>
      <c r="B1257" s="192"/>
    </row>
    <row r="1258" spans="1:7" ht="12">
      <c r="A1258" s="213" t="s">
        <v>2332</v>
      </c>
      <c r="B1258" s="191" t="s">
        <v>2325</v>
      </c>
      <c r="G1258" s="21" t="s">
        <v>2249</v>
      </c>
    </row>
    <row r="1259" spans="1:7" ht="12">
      <c r="A1259" s="214"/>
      <c r="B1259" s="192" t="s">
        <v>2315</v>
      </c>
      <c r="E1259" s="21" t="s">
        <v>2338</v>
      </c>
      <c r="F1259" s="47" t="str">
        <f ca="1">IF(chk_INTER1_state_in_conf=1,"","")</f>
        <v/>
      </c>
    </row>
    <row r="1260" spans="1:7" ht="12">
      <c r="A1260" s="214"/>
      <c r="B1260" s="193" t="s">
        <v>2317</v>
      </c>
      <c r="E1260" s="21" t="s">
        <v>2339</v>
      </c>
      <c r="F1260" s="47" t="str">
        <f ca="1">IF(chk_INTER1_state_in_conf=1,"","")</f>
        <v/>
      </c>
    </row>
    <row r="1261" spans="1:7" ht="12">
      <c r="A1261" s="214"/>
      <c r="B1261" s="199" t="s">
        <v>2319</v>
      </c>
      <c r="E1261" s="21" t="s">
        <v>2340</v>
      </c>
      <c r="F1261" s="47" t="str">
        <f ca="1">IF(chk_INTER1_state_in_conf=1,"","")</f>
        <v/>
      </c>
    </row>
    <row r="1262" spans="1:7" ht="12">
      <c r="A1262" s="214"/>
      <c r="B1262" s="199" t="s">
        <v>2321</v>
      </c>
      <c r="E1262" s="21" t="s">
        <v>2341</v>
      </c>
      <c r="F1262" s="47" t="str">
        <f ca="1">IF(chk_INTER1_state_in_conf=1,"","")</f>
        <v/>
      </c>
    </row>
    <row r="1263" spans="1:7" ht="12">
      <c r="A1263" s="214"/>
      <c r="B1263" s="199" t="s">
        <v>2323</v>
      </c>
      <c r="E1263" s="21" t="s">
        <v>2342</v>
      </c>
      <c r="F1263" s="278" t="str">
        <f ca="1">IF(chk_INTER1_state_in_conf=1,"","")</f>
        <v/>
      </c>
    </row>
    <row r="1264" spans="1:7" ht="12">
      <c r="A1264" s="215"/>
      <c r="B1264" s="192"/>
    </row>
    <row r="1265" spans="1:7" ht="12">
      <c r="A1265" s="200" t="s">
        <v>2343</v>
      </c>
      <c r="B1265" s="112"/>
    </row>
    <row r="1266" spans="1:7" ht="12">
      <c r="A1266" s="213" t="s">
        <v>1649</v>
      </c>
      <c r="B1266" s="191"/>
    </row>
    <row r="1267" spans="1:7" ht="12">
      <c r="A1267" s="214"/>
      <c r="B1267" s="192" t="s">
        <v>2190</v>
      </c>
      <c r="C1267" s="21" t="s">
        <v>2344</v>
      </c>
      <c r="D1267" s="256"/>
      <c r="E1267" s="21" t="s">
        <v>2345</v>
      </c>
      <c r="F1267" s="47" t="str">
        <f>IF(wskakunin_koutei_ikou01_KOUTEI_KAISUU="","",wskakunin_koutei_ikou01_KOUTEI_KAISUU)</f>
        <v/>
      </c>
    </row>
    <row r="1268" spans="1:7" ht="12">
      <c r="A1268" s="214"/>
      <c r="B1268" s="193" t="s">
        <v>2254</v>
      </c>
      <c r="C1268" s="21" t="s">
        <v>2346</v>
      </c>
      <c r="D1268" s="256"/>
      <c r="E1268" s="21" t="s">
        <v>2347</v>
      </c>
      <c r="F1268" s="47" t="str">
        <f>IF(wskakunin_koutei_ikou01_KOUTEI_TEXT="","",wskakunin_koutei_ikou01_KOUTEI_TEXT)</f>
        <v/>
      </c>
    </row>
    <row r="1269" spans="1:7" ht="12">
      <c r="A1269" s="214"/>
      <c r="B1269" s="193" t="s">
        <v>2348</v>
      </c>
      <c r="C1269" s="21" t="s">
        <v>2349</v>
      </c>
      <c r="D1269" s="278"/>
      <c r="E1269" s="21" t="s">
        <v>2350</v>
      </c>
      <c r="F1269" s="278" t="str">
        <f>IF(wskakunin_koutei_ikou01_KOUTEI_DATE="","",wskakunin_koutei_ikou01_KOUTEI_DATE)</f>
        <v/>
      </c>
    </row>
    <row r="1270" spans="1:7" ht="12">
      <c r="A1270" s="215"/>
      <c r="B1270" s="192"/>
    </row>
    <row r="1271" spans="1:7" ht="12">
      <c r="A1271" s="213" t="s">
        <v>2351</v>
      </c>
      <c r="B1271" s="191"/>
    </row>
    <row r="1272" spans="1:7" ht="12">
      <c r="A1272" s="214"/>
      <c r="B1272" s="192" t="s">
        <v>2190</v>
      </c>
      <c r="C1272" s="21" t="s">
        <v>2352</v>
      </c>
      <c r="D1272" s="256"/>
      <c r="E1272" s="21" t="s">
        <v>2353</v>
      </c>
      <c r="F1272" s="47" t="str">
        <f>IF(wskakunin_koutei_ikou02_KOUTEI_KAISUU="","",wskakunin_koutei_ikou02_KOUTEI_KAISUU)</f>
        <v/>
      </c>
    </row>
    <row r="1273" spans="1:7" ht="12">
      <c r="A1273" s="214"/>
      <c r="B1273" s="193" t="s">
        <v>2254</v>
      </c>
      <c r="C1273" s="21" t="s">
        <v>2354</v>
      </c>
      <c r="D1273" s="256"/>
      <c r="E1273" s="21" t="s">
        <v>2355</v>
      </c>
      <c r="F1273" s="47" t="str">
        <f>IF(wskakunin_koutei_ikou02_KOUTEI_TEXT="","",wskakunin_koutei_ikou02_KOUTEI_TEXT)</f>
        <v/>
      </c>
    </row>
    <row r="1274" spans="1:7" ht="12">
      <c r="A1274" s="214"/>
      <c r="B1274" s="193" t="s">
        <v>2348</v>
      </c>
      <c r="C1274" s="21" t="s">
        <v>2356</v>
      </c>
      <c r="D1274" s="278"/>
      <c r="E1274" s="21" t="s">
        <v>2357</v>
      </c>
      <c r="F1274" s="278" t="str">
        <f>IF(wskakunin_koutei_ikou02_KOUTEI_DATE="","",wskakunin_koutei_ikou02_KOUTEI_DATE)</f>
        <v/>
      </c>
    </row>
    <row r="1275" spans="1:7" ht="12">
      <c r="A1275" s="215"/>
      <c r="B1275" s="192"/>
    </row>
    <row r="1276" spans="1:7" ht="12">
      <c r="A1276" s="213" t="s">
        <v>2358</v>
      </c>
      <c r="B1276" s="191" t="s">
        <v>2314</v>
      </c>
      <c r="G1276" s="21" t="s">
        <v>2359</v>
      </c>
    </row>
    <row r="1277" spans="1:7" ht="12">
      <c r="A1277" s="214"/>
      <c r="B1277" s="192" t="s">
        <v>2315</v>
      </c>
      <c r="E1277" s="21" t="s">
        <v>2360</v>
      </c>
      <c r="F1277" s="47" t="str">
        <f ca="1">IF(chk_INTER2_state_in_conf=1,cst_wskakunin_koutei02_KOUTEI_KAISUU,cst_wskakunin_koutei_ikou01_KOUTEI_KAISUU)</f>
        <v/>
      </c>
    </row>
    <row r="1278" spans="1:7" ht="12">
      <c r="A1278" s="214"/>
      <c r="B1278" s="193" t="s">
        <v>2317</v>
      </c>
      <c r="E1278" s="21" t="s">
        <v>2361</v>
      </c>
      <c r="F1278" s="47" t="str">
        <f ca="1">IF(chk_INTER2_state_in_conf=1,cst_wskakunin_koutei02_KOUTEI_TEXT,cst_wskakunin_koutei_ikou01_KOUTEI_TEXT)</f>
        <v/>
      </c>
    </row>
    <row r="1279" spans="1:7" ht="12">
      <c r="A1279" s="214"/>
      <c r="B1279" s="193" t="s">
        <v>2362</v>
      </c>
      <c r="E1279" s="21" t="s">
        <v>2363</v>
      </c>
      <c r="F1279" s="278" t="str">
        <f ca="1">IF(chk_INTER2_state_in_conf=1,cst_wskakunin_koutei02_KOUTEI_DATE,cst_wskakunin_koutei_ikou01_KOUTEI_DATE)</f>
        <v/>
      </c>
    </row>
    <row r="1280" spans="1:7" ht="12">
      <c r="A1280" s="215"/>
      <c r="B1280" s="192"/>
    </row>
    <row r="1281" spans="1:7" ht="12">
      <c r="A1281" s="213" t="s">
        <v>2358</v>
      </c>
      <c r="B1281" s="163" t="s">
        <v>2325</v>
      </c>
      <c r="G1281" s="21" t="s">
        <v>2364</v>
      </c>
    </row>
    <row r="1282" spans="1:7" ht="12">
      <c r="A1282" s="214"/>
      <c r="B1282" s="192" t="s">
        <v>2315</v>
      </c>
      <c r="E1282" s="21" t="s">
        <v>2365</v>
      </c>
      <c r="F1282" s="47" t="str">
        <f ca="1">IF(chk_INTER3_state_in_conf=1,cst_wskakunin_koutei03_KOUTEI_KAISUU,"")</f>
        <v/>
      </c>
    </row>
    <row r="1283" spans="1:7" ht="12">
      <c r="A1283" s="214"/>
      <c r="B1283" s="193" t="s">
        <v>2317</v>
      </c>
      <c r="E1283" s="21" t="s">
        <v>2366</v>
      </c>
      <c r="F1283" s="47" t="str">
        <f ca="1">IF(chk_INTER3_state_in_conf=1,cst_wskakunin_koutei03_KOUTEI_TEXT,"")</f>
        <v/>
      </c>
    </row>
    <row r="1284" spans="1:7" ht="12">
      <c r="A1284" s="214"/>
      <c r="B1284" s="193" t="s">
        <v>2362</v>
      </c>
      <c r="E1284" s="21" t="s">
        <v>2367</v>
      </c>
      <c r="F1284" s="278" t="str">
        <f ca="1">IF(chk_INTER3_state_in_conf=1,cst_wskakunin_koutei03_KOUTEI_DATE,"")</f>
        <v/>
      </c>
    </row>
    <row r="1285" spans="1:7" ht="12">
      <c r="A1285" s="215"/>
      <c r="B1285" s="192"/>
    </row>
    <row r="1286" spans="1:7" ht="12">
      <c r="A1286" s="213" t="s">
        <v>2368</v>
      </c>
      <c r="B1286" s="191" t="s">
        <v>2314</v>
      </c>
      <c r="G1286" s="21" t="s">
        <v>2369</v>
      </c>
    </row>
    <row r="1287" spans="1:7" ht="12">
      <c r="A1287" s="214"/>
      <c r="B1287" s="192" t="s">
        <v>2315</v>
      </c>
      <c r="E1287" s="21" t="s">
        <v>2370</v>
      </c>
      <c r="F1287" s="47" t="str">
        <f ca="1">IF(chk_INTER2_state_in_conf=1,cst_wskakunin_koutei02_KOUTEI_KAISUU,cst_wskakunin_koutei_ikou02_KOUTEI_KAISUU)</f>
        <v/>
      </c>
    </row>
    <row r="1288" spans="1:7" ht="12">
      <c r="A1288" s="214"/>
      <c r="B1288" s="193" t="s">
        <v>2317</v>
      </c>
      <c r="E1288" s="21" t="s">
        <v>2371</v>
      </c>
      <c r="F1288" s="47" t="str">
        <f ca="1">IF(chk_INTER2_state_in_conf=1,cst_wskakunin_koutei02_KOUTEI_TEXT,cst_wskakunin_koutei_ikou02_KOUTEI_TEXT)</f>
        <v/>
      </c>
    </row>
    <row r="1289" spans="1:7" ht="12">
      <c r="A1289" s="214"/>
      <c r="B1289" s="193" t="s">
        <v>2362</v>
      </c>
      <c r="E1289" s="21" t="s">
        <v>2372</v>
      </c>
      <c r="F1289" s="278" t="str">
        <f ca="1">IF(chk_INTER2_state_in_conf=1,cst_wskakunin_koutei02_KOUTEI_DATE,cst_wskakunin_koutei_ikou02_KOUTEI_DATE)</f>
        <v/>
      </c>
    </row>
    <row r="1290" spans="1:7" ht="12">
      <c r="A1290" s="215"/>
      <c r="B1290" s="192"/>
    </row>
    <row r="1291" spans="1:7" ht="12">
      <c r="A1291" s="213" t="s">
        <v>2368</v>
      </c>
      <c r="B1291" s="163" t="s">
        <v>2325</v>
      </c>
      <c r="G1291" s="21" t="s">
        <v>2373</v>
      </c>
    </row>
    <row r="1292" spans="1:7" ht="12">
      <c r="A1292" s="214"/>
      <c r="B1292" s="192" t="s">
        <v>2315</v>
      </c>
      <c r="E1292" s="21" t="s">
        <v>2374</v>
      </c>
      <c r="F1292" s="47" t="str">
        <f ca="1">IF(chk_INTER3_state_in_conf=1,cst_wskakunin_koutei03_KOUTEI_KAISUU,"")</f>
        <v/>
      </c>
    </row>
    <row r="1293" spans="1:7" ht="12">
      <c r="A1293" s="214"/>
      <c r="B1293" s="193" t="s">
        <v>2317</v>
      </c>
      <c r="E1293" s="21" t="s">
        <v>2375</v>
      </c>
      <c r="F1293" s="47" t="str">
        <f ca="1">IF(chk_INTER3_state_in_conf=1,cst_wskakunin_koutei03_KOUTEI_TEXT,"")</f>
        <v/>
      </c>
    </row>
    <row r="1294" spans="1:7" ht="12">
      <c r="A1294" s="214"/>
      <c r="B1294" s="193" t="s">
        <v>2362</v>
      </c>
      <c r="E1294" s="21" t="s">
        <v>2376</v>
      </c>
      <c r="F1294" s="278" t="str">
        <f ca="1">IF(chk_INTER3_state_in_conf=1,cst_wskakunin_koutei03_KOUTEI_DATE,"")</f>
        <v/>
      </c>
    </row>
    <row r="1295" spans="1:7" ht="12">
      <c r="A1295" s="216"/>
      <c r="B1295" s="198"/>
    </row>
    <row r="1296" spans="1:7" ht="12">
      <c r="A1296" s="195" t="s">
        <v>2377</v>
      </c>
      <c r="B1296" s="52"/>
      <c r="C1296" s="21" t="s">
        <v>2378</v>
      </c>
    </row>
    <row r="1297" spans="1:7" ht="12">
      <c r="A1297" s="53"/>
      <c r="B1297" s="201" t="s">
        <v>2379</v>
      </c>
      <c r="C1297" s="21" t="s">
        <v>2380</v>
      </c>
      <c r="D1297" s="256"/>
      <c r="E1297" s="21" t="s">
        <v>2381</v>
      </c>
      <c r="F1297" s="47" t="str">
        <f>IF(wskakunin_keibi_henkou01_HENKOU_SYURUI="","",wskakunin_keibi_henkou01_HENKOU_SYURUI)</f>
        <v/>
      </c>
    </row>
    <row r="1298" spans="1:7" ht="12">
      <c r="A1298" s="53"/>
      <c r="B1298" s="201" t="s">
        <v>2382</v>
      </c>
      <c r="C1298" s="21" t="s">
        <v>2383</v>
      </c>
      <c r="D1298" s="256"/>
      <c r="E1298" s="21" t="s">
        <v>2384</v>
      </c>
      <c r="F1298" s="47" t="str">
        <f>IF(wskakunin_keibi_henkou01_HENKOU_GAIYOU="","",wskakunin_keibi_henkou01_HENKOU_GAIYOU)</f>
        <v/>
      </c>
    </row>
    <row r="1299" spans="1:7" ht="12">
      <c r="A1299" s="187"/>
      <c r="B1299" s="198"/>
      <c r="C1299" s="22"/>
    </row>
    <row r="1300" spans="1:7" ht="12">
      <c r="A1300" s="189" t="s">
        <v>2385</v>
      </c>
      <c r="B1300" s="109" t="s">
        <v>1717</v>
      </c>
      <c r="F1300" s="21" t="s">
        <v>95</v>
      </c>
      <c r="G1300" s="21" t="s">
        <v>96</v>
      </c>
    </row>
    <row r="1301" spans="1:7" ht="12">
      <c r="A1301" s="195" t="s">
        <v>2386</v>
      </c>
      <c r="B1301" s="197"/>
      <c r="C1301" s="21" t="s">
        <v>2387</v>
      </c>
      <c r="D1301" s="278" t="s">
        <v>112</v>
      </c>
      <c r="E1301" s="21" t="s">
        <v>2388</v>
      </c>
      <c r="F1301" s="278" t="str">
        <f ca="1">IF(chk_JOB_KIND_kakunin=1,"",IF(wskakunin_KOUJI_KANRYOU_DATE="","",wskakunin_KOUJI_KANRYOU_DATE))</f>
        <v/>
      </c>
      <c r="G1301" s="21" t="s">
        <v>2249</v>
      </c>
    </row>
    <row r="1302" spans="1:7" ht="12">
      <c r="A1302" s="91" t="s">
        <v>2389</v>
      </c>
      <c r="B1302" s="112"/>
    </row>
    <row r="1303" spans="1:7" ht="12">
      <c r="A1303" s="190" t="s">
        <v>2390</v>
      </c>
      <c r="B1303" s="191" t="s">
        <v>2391</v>
      </c>
    </row>
    <row r="1304" spans="1:7" ht="12">
      <c r="A1304" s="53"/>
      <c r="B1304" s="209" t="s">
        <v>2190</v>
      </c>
      <c r="E1304" s="21" t="s">
        <v>2192</v>
      </c>
      <c r="F1304" s="21" t="str">
        <f>cst_wskakunin_koutei01_KOUTEI_KAISUU</f>
        <v/>
      </c>
    </row>
    <row r="1305" spans="1:7" ht="12">
      <c r="A1305" s="53"/>
      <c r="B1305" s="209" t="s">
        <v>2254</v>
      </c>
      <c r="E1305" s="21" t="s">
        <v>2198</v>
      </c>
      <c r="F1305" s="21" t="str">
        <f>cst_wskakunin_koutei01_KOUTEI_TEXT</f>
        <v/>
      </c>
    </row>
    <row r="1306" spans="1:7" ht="12">
      <c r="A1306" s="53"/>
      <c r="B1306" s="209" t="s">
        <v>2392</v>
      </c>
      <c r="C1306" s="21" t="s">
        <v>2393</v>
      </c>
      <c r="D1306" s="256"/>
      <c r="E1306" s="21" t="s">
        <v>2394</v>
      </c>
      <c r="F1306" s="47" t="str">
        <f>IF(wskakunin_koutei01_INTER_ISSUE_NAME="","",wskakunin_koutei01_INTER_ISSUE_NAME)</f>
        <v/>
      </c>
    </row>
    <row r="1307" spans="1:7" ht="12">
      <c r="A1307" s="53"/>
      <c r="B1307" s="209" t="s">
        <v>2277</v>
      </c>
      <c r="C1307" s="21" t="s">
        <v>2395</v>
      </c>
      <c r="D1307" s="256"/>
      <c r="E1307" s="21" t="s">
        <v>2396</v>
      </c>
      <c r="F1307" s="47" t="str">
        <f>IF(wskakunin_koutei01_INTER_ISSUE_NO="","",wskakunin_koutei01_INTER_ISSUE_NO)</f>
        <v/>
      </c>
    </row>
    <row r="1308" spans="1:7" ht="12">
      <c r="A1308" s="53"/>
      <c r="B1308" s="209" t="s">
        <v>2280</v>
      </c>
      <c r="C1308" s="21" t="s">
        <v>2397</v>
      </c>
      <c r="D1308" s="278"/>
      <c r="E1308" s="21" t="s">
        <v>2398</v>
      </c>
      <c r="F1308" s="278" t="str">
        <f>IF(wskakunin_koutei01_INTER_ISSUE_DATE="","",wskakunin_koutei01_INTER_ISSUE_DATE)</f>
        <v/>
      </c>
    </row>
    <row r="1309" spans="1:7" ht="12">
      <c r="A1309" s="53"/>
      <c r="B1309" s="209"/>
      <c r="D1309" s="211"/>
      <c r="F1309" s="211"/>
    </row>
    <row r="1310" spans="1:7" ht="12">
      <c r="A1310" s="190"/>
      <c r="B1310" s="212" t="s">
        <v>2399</v>
      </c>
      <c r="D1310" s="211"/>
      <c r="F1310" s="211"/>
    </row>
    <row r="1311" spans="1:7" ht="12">
      <c r="A1311" s="53"/>
      <c r="B1311" s="209" t="s">
        <v>2190</v>
      </c>
      <c r="D1311" s="211"/>
      <c r="E1311" s="21" t="s">
        <v>2400</v>
      </c>
      <c r="F1311" s="276" t="e">
        <f ca="1">IF(OR(chk_INTER_state_in_final=10,chk_INTER_state_in_final=40),cst_wskakunin_koutei01_KOUTEI_KAISUU,IF(chk_INTER_state_in_final=30,cst_wskakunin_keika01_TOUTEI_KAISUU_inter0,IF(chk_INTER_state_in_final=31,cst_wskakunin_koutei_izen01_KOUTEI_KAISUU,IF(chk_INTER_state_in_final=32,cst_wskakunin_koutei_izen01_KOUTEI_KAISUU,""))))</f>
        <v>#NAME?</v>
      </c>
    </row>
    <row r="1312" spans="1:7" ht="12">
      <c r="A1312" s="53"/>
      <c r="B1312" s="209" t="s">
        <v>2254</v>
      </c>
      <c r="D1312" s="211"/>
      <c r="E1312" s="21" t="s">
        <v>2401</v>
      </c>
      <c r="F1312" s="276" t="str">
        <f ca="1">IF(OR(chk_INTER_state_in_final=10,chk_INTER_state_in_final=40),cst_wskakunin_koutei01_KOUTEI_TEXT,IF(chk_INTER_state_in_final=30,cst_wskakunin_TOKUTEI_KOUTEI,IF(chk_INTER_state_in_final=31,cst_wskakunin_koutei_izen01_KOUTEI_TEXT,IF(chk_INTER_state_in_final=32,cst_wskakunin_koutei_izen01_KOUTEI_TEXT,""))))</f>
        <v>土台、柱、はり及び筋かいを金物等により接合する工事の工程</v>
      </c>
    </row>
    <row r="1313" spans="1:6" ht="12">
      <c r="A1313" s="53"/>
      <c r="B1313" s="209" t="s">
        <v>2392</v>
      </c>
      <c r="D1313" s="211"/>
      <c r="E1313" s="21" t="s">
        <v>2402</v>
      </c>
      <c r="F1313" s="276" t="e">
        <f ca="1">IF(OR(chk_INTER_state_in_final=10,chk_INTER_state_in_final=40),cst_wskakunin_koutei01_INTER_ISSUE_NAME,IF(chk_INTER_state_in_final=30,cst_wskakunin_keika01_INTER_ISSUE_NAME_inter0,IF(chk_INTER_state_in_final=31,cst_wskakunin_koutei_izen01_INTER_ISSUE_NAME,IF(chk_INTER_state_in_final=32,cst_wskakunin_koutei_izen01_INTER_ISSUE_NAME,""))))</f>
        <v>#NAME?</v>
      </c>
    </row>
    <row r="1314" spans="1:6" ht="12">
      <c r="A1314" s="53"/>
      <c r="B1314" s="209" t="s">
        <v>2277</v>
      </c>
      <c r="D1314" s="211"/>
      <c r="E1314" s="21" t="s">
        <v>2403</v>
      </c>
      <c r="F1314" s="276" t="e">
        <f ca="1">IF(OR(chk_INTER_state_in_final=10,chk_INTER_state_in_final=40),cst_wskakunin_koutei01_INTER_ISSUE_NO,IF(chk_INTER_state_in_final=30,cst_wskakunin_keika01_INTER_ISSUE_NO_inter0,IF(chk_INTER_state_in_final=31,cst_wskakunin_koutei_izen01_INTER_ISSUE_NO,IF(chk_INTER_state_in_final=32,cst_wskakunin_koutei_izen01_INTER_ISSUE_NO,""))))</f>
        <v>#NAME?</v>
      </c>
    </row>
    <row r="1315" spans="1:6" ht="12">
      <c r="A1315" s="53"/>
      <c r="B1315" s="209" t="s">
        <v>2280</v>
      </c>
      <c r="D1315" s="211"/>
      <c r="E1315" s="21" t="s">
        <v>2404</v>
      </c>
      <c r="F1315" s="278" t="str">
        <f ca="1">IF(OR(chk_INTER_state_in_final=10,chk_INTER_state_in_final=40),cst_wskakunin_koutei01_INTER_ISSUE_DATE,IF(chk_INTER_state_in_final=30,"",IF(chk_INTER_state_in_final=31,cst_wskakunin_koutei_izen01_INTER_ISSUE_DATE,IF(chk_INTER_state_in_final=32,cst_wskakunin_koutei_izen01_INTER_ISSUE_DATE,""))))</f>
        <v/>
      </c>
    </row>
    <row r="1316" spans="1:6" ht="12">
      <c r="A1316" s="194"/>
      <c r="B1316" s="209"/>
    </row>
    <row r="1317" spans="1:6" ht="12">
      <c r="A1317" s="53" t="s">
        <v>2405</v>
      </c>
      <c r="B1317" s="191" t="s">
        <v>2391</v>
      </c>
    </row>
    <row r="1318" spans="1:6" ht="12">
      <c r="A1318" s="53"/>
      <c r="B1318" s="209" t="s">
        <v>2190</v>
      </c>
      <c r="E1318" s="21" t="s">
        <v>2200</v>
      </c>
      <c r="F1318" s="21" t="str">
        <f>cst_wskakunin_koutei02_KOUTEI_KAISUU</f>
        <v/>
      </c>
    </row>
    <row r="1319" spans="1:6" ht="12">
      <c r="A1319" s="53"/>
      <c r="B1319" s="209" t="s">
        <v>2254</v>
      </c>
      <c r="E1319" s="21" t="s">
        <v>2204</v>
      </c>
      <c r="F1319" s="21" t="str">
        <f>cst_wskakunin_koutei02_KOUTEI_TEXT</f>
        <v/>
      </c>
    </row>
    <row r="1320" spans="1:6" ht="12">
      <c r="A1320" s="53"/>
      <c r="B1320" s="209" t="s">
        <v>2392</v>
      </c>
      <c r="C1320" s="21" t="s">
        <v>2406</v>
      </c>
      <c r="D1320" s="256"/>
      <c r="E1320" s="21" t="s">
        <v>2407</v>
      </c>
      <c r="F1320" s="47" t="str">
        <f>IF(wskakunin_koutei02_INTER_ISSUE_NAME="","",wskakunin_koutei02_INTER_ISSUE_NAME)</f>
        <v/>
      </c>
    </row>
    <row r="1321" spans="1:6" ht="12">
      <c r="A1321" s="53"/>
      <c r="B1321" s="209" t="s">
        <v>2277</v>
      </c>
      <c r="C1321" s="21" t="s">
        <v>2408</v>
      </c>
      <c r="D1321" s="256"/>
      <c r="E1321" s="21" t="s">
        <v>2409</v>
      </c>
      <c r="F1321" s="47" t="str">
        <f>IF(wskakunin_koutei02_INTER_ISSUE_NO="","",wskakunin_koutei02_INTER_ISSUE_NO)</f>
        <v/>
      </c>
    </row>
    <row r="1322" spans="1:6" ht="12">
      <c r="A1322" s="53"/>
      <c r="B1322" s="209" t="s">
        <v>2280</v>
      </c>
      <c r="C1322" s="21" t="s">
        <v>2410</v>
      </c>
      <c r="D1322" s="278"/>
      <c r="E1322" s="21" t="s">
        <v>2411</v>
      </c>
      <c r="F1322" s="278" t="str">
        <f>IF(wskakunin_koutei02_INTER_ISSUE_DATE="","",wskakunin_koutei02_INTER_ISSUE_DATE)</f>
        <v/>
      </c>
    </row>
    <row r="1323" spans="1:6" ht="12">
      <c r="A1323" s="53"/>
      <c r="B1323" s="209"/>
      <c r="D1323" s="211"/>
      <c r="F1323" s="211"/>
    </row>
    <row r="1324" spans="1:6" ht="12">
      <c r="A1324" s="53"/>
      <c r="B1324" s="209"/>
      <c r="D1324" s="211"/>
      <c r="F1324" s="211"/>
    </row>
    <row r="1325" spans="1:6" ht="12">
      <c r="A1325" s="190"/>
      <c r="B1325" s="212" t="s">
        <v>2399</v>
      </c>
      <c r="D1325" s="211"/>
      <c r="F1325" s="211"/>
    </row>
    <row r="1326" spans="1:6" ht="12">
      <c r="A1326" s="53"/>
      <c r="B1326" s="209" t="s">
        <v>2190</v>
      </c>
      <c r="D1326" s="211"/>
      <c r="E1326" s="21" t="s">
        <v>2412</v>
      </c>
      <c r="F1326" s="276" t="e">
        <f ca="1">IF(OR(chk_INTER_state_in_final=10,chk_INTER_state_in_final=40),cst_wskakunin_koutei02_KOUTEI_KAISUU,IF(chk_INTER_state_in_final=30,cst_wskakunin_keika02_TOUTEI_KAISUU_inter0,IF(chk_INTER_state_in_final=31,cst_wskakunin_koutei_izen01_KOUTEI_KAISUU,IF(chk_INTER_state_in_final=32,cst_wskakunin_koutei_izen02_KOUTEI_KAISUU,""))))</f>
        <v>#NAME?</v>
      </c>
    </row>
    <row r="1327" spans="1:6" ht="12">
      <c r="A1327" s="53"/>
      <c r="B1327" s="209" t="s">
        <v>2254</v>
      </c>
      <c r="D1327" s="211"/>
      <c r="E1327" s="21" t="s">
        <v>2413</v>
      </c>
      <c r="F1327" s="276" t="str">
        <f ca="1">IF(OR(chk_INTER_state_in_final=10,chk_INTER_state_in_final=40),cst_wskakunin_koutei02_KOUTEI_TEXT,IF(chk_INTER_state_in_final=30,cst_wskakunin_koutei_ikou01_KOUTEI_TEXT,IF(chk_INTER_state_in_final=31,cst_wskakunin_koutei_izen01_KOUTEI_TEXT,IF(chk_INTER_state_in_final=32,cst_wskakunin_koutei_izen02_KOUTEI_TEXT,""))))</f>
        <v/>
      </c>
    </row>
    <row r="1328" spans="1:6" ht="12">
      <c r="A1328" s="53"/>
      <c r="B1328" s="209" t="s">
        <v>2392</v>
      </c>
      <c r="D1328" s="211"/>
      <c r="E1328" s="21" t="s">
        <v>2414</v>
      </c>
      <c r="F1328" s="276" t="e">
        <f ca="1">IF(OR(chk_INTER_state_in_final=10,chk_INTER_state_in_final=40),cst_wskakunin_koutei02_INTER_ISSUE_NAME,IF(chk_INTER_state_in_final=30,cst_wskakunin_keika02_INTER_ISSUE_NAME_inter0,IF(chk_INTER_state_in_final=31,cst_wskakunin_koutei_izen01_INTER_ISSUE_NAME,IF(chk_INTER_state_in_final=32,cst_wskakunin_koutei_izen02_INTER_ISSUE_NAME,""))))</f>
        <v>#NAME?</v>
      </c>
    </row>
    <row r="1329" spans="1:6" ht="12">
      <c r="A1329" s="53"/>
      <c r="B1329" s="209" t="s">
        <v>2277</v>
      </c>
      <c r="D1329" s="211"/>
      <c r="E1329" s="21" t="s">
        <v>2415</v>
      </c>
      <c r="F1329" s="276" t="e">
        <f ca="1">IF(OR(chk_INTER_state_in_final=10,chk_INTER_state_in_final=40),cst_wskakunin_koutei02_INTER_ISSUE_NO,IF(chk_INTER_state_in_final=30,cst_wskakunin_keika02_INTER_ISSUE_NO_inter0,IF(chk_INTER_state_in_final=31,cst_wskakunin_koutei_izen01_INTER_ISSUE_NO,IF(chk_INTER_state_in_final=32,cst_wskakunin_koutei_izen02_INTER_ISSUE_NO,""))))</f>
        <v>#NAME?</v>
      </c>
    </row>
    <row r="1330" spans="1:6" ht="12">
      <c r="A1330" s="53"/>
      <c r="B1330" s="209" t="s">
        <v>2280</v>
      </c>
      <c r="D1330" s="211"/>
      <c r="E1330" s="21" t="s">
        <v>2416</v>
      </c>
      <c r="F1330" s="278" t="str">
        <f ca="1">IF(OR(chk_INTER_state_in_final=10,chk_INTER_state_in_final=40),cst_wskakunin_koutei02_INTER_ISSUE_DATE,IF(chk_INTER_state_in_final=30,"",IF(chk_INTER_state_in_final=31,cst_wskakunin_koutei_izen01_INTER_ISSUE_DATE,IF(chk_INTER_state_in_final=32,cst_wskakunin_koutei_izen02_INTER_ISSUE_DATE,""))))</f>
        <v/>
      </c>
    </row>
    <row r="1331" spans="1:6" ht="12">
      <c r="A1331" s="187"/>
      <c r="B1331" s="210"/>
    </row>
    <row r="1332" spans="1:6" ht="12">
      <c r="A1332" s="208"/>
      <c r="B1332" s="207"/>
    </row>
    <row r="1333" spans="1:6" ht="12">
      <c r="A1333" s="47" t="s">
        <v>2417</v>
      </c>
      <c r="B1333" s="47"/>
      <c r="C1333" s="21" t="s">
        <v>2418</v>
      </c>
      <c r="D1333" s="47" t="s">
        <v>2419</v>
      </c>
      <c r="E1333" s="21" t="s">
        <v>2420</v>
      </c>
      <c r="F1333" s="47" t="str">
        <f>IF(shinsei_build_YOUTO="","",shinsei_build_YOUTO)</f>
        <v>一戸建ての住宅</v>
      </c>
    </row>
  </sheetData>
  <customSheetViews>
    <customSheetView guid="{E028D9C5-4CBB-430B-B1F8-80DD1ABDFA29}" scale="90">
      <pane xSplit="2" ySplit="6" topLeftCell="C1370" activePane="bottomRight" state="frozen"/>
      <selection pane="bottomRight" activeCell="F1381" sqref="F1381"/>
      <pageMargins left="0.7" right="0.7" top="0.75" bottom="0.75" header="0.3" footer="0.3"/>
      <pageSetup paperSize="9" orientation="portrait"/>
    </customSheetView>
    <customSheetView guid="{D83ABAE7-1F4C-4C77-8E04-C5172671ED17}" hiddenRows="1">
      <pane xSplit="2" ySplit="6" topLeftCell="C7" activePane="bottomRight" state="frozen"/>
      <selection pane="bottomRight"/>
      <pageMargins left="0.7" right="0.7" top="0.75" bottom="0.75" header="0.3" footer="0.3"/>
      <pageSetup paperSize="9" orientation="portrait" r:id="rId1"/>
    </customSheetView>
    <customSheetView guid="{2DA24103-744A-47E0-AFFB-F94A0E194D57}" scale="90">
      <pane xSplit="2" ySplit="6" topLeftCell="C259" activePane="bottomRight" state="frozen"/>
      <selection pane="bottomRight" activeCell="F275" sqref="F275"/>
      <pageMargins left="0.7" right="0.7" top="0.75" bottom="0.75" header="0.3" footer="0.3"/>
      <pageSetup paperSize="9" orientation="portrait" r:id="rId2"/>
    </customSheetView>
  </customSheetViews>
  <mergeCells count="1">
    <mergeCell ref="A1068:B1068"/>
  </mergeCells>
  <phoneticPr fontId="8"/>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CCFFCC"/>
  </sheetPr>
  <dimension ref="A3:J29"/>
  <sheetViews>
    <sheetView workbookViewId="0">
      <selection activeCell="J27" sqref="J27"/>
    </sheetView>
  </sheetViews>
  <sheetFormatPr defaultColWidth="9" defaultRowHeight="15" customHeight="1"/>
  <cols>
    <col min="1" max="5" width="2.625" style="21" customWidth="1"/>
    <col min="6" max="7" width="10.625" style="21" customWidth="1"/>
    <col min="8" max="8" width="18.375" style="21" customWidth="1"/>
    <col min="9" max="12" width="20.625" style="21" customWidth="1"/>
    <col min="13" max="13" width="9" style="21" customWidth="1"/>
    <col min="14" max="16384" width="9" style="21"/>
  </cols>
  <sheetData>
    <row r="3" spans="1:9">
      <c r="A3" s="21" t="s">
        <v>73</v>
      </c>
    </row>
    <row r="4" spans="1:9">
      <c r="H4" s="130" t="s">
        <v>2421</v>
      </c>
      <c r="I4" s="126" t="s">
        <v>2422</v>
      </c>
    </row>
    <row r="5" spans="1:9">
      <c r="H5" s="123">
        <v>0</v>
      </c>
      <c r="I5" s="127" t="s">
        <v>2423</v>
      </c>
    </row>
    <row r="6" spans="1:9">
      <c r="H6" s="124">
        <v>100</v>
      </c>
      <c r="I6" s="128" t="s">
        <v>2424</v>
      </c>
    </row>
    <row r="7" spans="1:9">
      <c r="H7" s="124">
        <v>200</v>
      </c>
      <c r="I7" s="128" t="s">
        <v>2425</v>
      </c>
    </row>
    <row r="8" spans="1:9">
      <c r="H8" s="124">
        <v>300</v>
      </c>
      <c r="I8" s="128" t="s">
        <v>2426</v>
      </c>
    </row>
    <row r="9" spans="1:9">
      <c r="H9" s="125" t="s">
        <v>2427</v>
      </c>
      <c r="I9" s="129"/>
    </row>
    <row r="12" spans="1:9">
      <c r="A12" s="21" t="s">
        <v>73</v>
      </c>
    </row>
    <row r="13" spans="1:9">
      <c r="H13" s="130" t="s">
        <v>2428</v>
      </c>
      <c r="I13" s="126" t="s">
        <v>2429</v>
      </c>
    </row>
    <row r="14" spans="1:9">
      <c r="H14" s="123">
        <v>1</v>
      </c>
      <c r="I14" s="127" t="s">
        <v>67</v>
      </c>
    </row>
    <row r="15" spans="1:9">
      <c r="H15" s="124">
        <v>2</v>
      </c>
      <c r="I15" s="128" t="s">
        <v>78</v>
      </c>
    </row>
    <row r="16" spans="1:9">
      <c r="H16" s="124">
        <v>3</v>
      </c>
      <c r="I16" s="128" t="s">
        <v>2430</v>
      </c>
    </row>
    <row r="17" spans="1:10">
      <c r="H17" s="124">
        <v>4</v>
      </c>
      <c r="I17" s="128" t="s">
        <v>2431</v>
      </c>
    </row>
    <row r="18" spans="1:10">
      <c r="H18" s="124">
        <v>5</v>
      </c>
      <c r="I18" s="128" t="s">
        <v>2432</v>
      </c>
    </row>
    <row r="19" spans="1:10">
      <c r="H19" s="125" t="s">
        <v>2427</v>
      </c>
      <c r="I19" s="129"/>
    </row>
    <row r="21" spans="1:10">
      <c r="H21" s="60"/>
    </row>
    <row r="22" spans="1:10">
      <c r="A22" s="21" t="s">
        <v>86</v>
      </c>
    </row>
    <row r="23" spans="1:10">
      <c r="H23" s="130" t="s">
        <v>2433</v>
      </c>
      <c r="I23" s="126" t="s">
        <v>2434</v>
      </c>
      <c r="J23" s="206" t="s">
        <v>2424</v>
      </c>
    </row>
    <row r="24" spans="1:10">
      <c r="H24" s="123">
        <v>101</v>
      </c>
      <c r="I24" s="133" t="s">
        <v>2435</v>
      </c>
      <c r="J24" s="203">
        <v>1</v>
      </c>
    </row>
    <row r="25" spans="1:10">
      <c r="H25" s="124">
        <v>102</v>
      </c>
      <c r="I25" s="134" t="s">
        <v>2436</v>
      </c>
      <c r="J25" s="204">
        <v>1</v>
      </c>
    </row>
    <row r="26" spans="1:10">
      <c r="H26" s="124">
        <v>103</v>
      </c>
      <c r="I26" s="134" t="s">
        <v>2437</v>
      </c>
      <c r="J26" s="204">
        <v>3</v>
      </c>
    </row>
    <row r="27" spans="1:10">
      <c r="H27" s="124">
        <v>104</v>
      </c>
      <c r="I27" s="134" t="s">
        <v>2438</v>
      </c>
      <c r="J27" s="204">
        <v>4</v>
      </c>
    </row>
    <row r="28" spans="1:10">
      <c r="H28" s="124">
        <v>999</v>
      </c>
      <c r="I28" s="134" t="s">
        <v>2439</v>
      </c>
      <c r="J28" s="204"/>
    </row>
    <row r="29" spans="1:10">
      <c r="H29" s="132" t="s">
        <v>2427</v>
      </c>
      <c r="I29" s="135"/>
      <c r="J29" s="205"/>
    </row>
  </sheetData>
  <customSheetViews>
    <customSheetView guid="{E028D9C5-4CBB-430B-B1F8-80DD1ABDFA29}">
      <selection activeCell="J27" sqref="J27"/>
      <pageMargins left="0.7" right="0.7" top="0.75" bottom="0.75" header="0.3" footer="0.3"/>
      <pageSetup paperSize="9" orientation="portrait"/>
    </customSheetView>
    <customSheetView guid="{D83ABAE7-1F4C-4C77-8E04-C5172671ED17}">
      <selection activeCell="J27" sqref="J27"/>
      <pageMargins left="0.7" right="0.7" top="0.75" bottom="0.75" header="0.3" footer="0.3"/>
      <pageSetup paperSize="9" orientation="portrait" r:id="rId1"/>
    </customSheetView>
    <customSheetView guid="{2DA24103-744A-47E0-AFFB-F94A0E194D57}">
      <selection activeCell="J27" sqref="J27"/>
      <pageMargins left="0.7" right="0.7" top="0.75" bottom="0.75" header="0.3" footer="0.3"/>
      <pageSetup paperSize="9" orientation="portrait" r:id="rId2"/>
    </customSheetView>
  </customSheetViews>
  <phoneticPr fontId="7"/>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CFFCC"/>
  </sheetPr>
  <dimension ref="A1:AP68"/>
  <sheetViews>
    <sheetView topLeftCell="B1" workbookViewId="0">
      <pane ySplit="2" topLeftCell="A3" activePane="bottomLeft" state="frozen"/>
      <selection activeCell="F1" sqref="F1"/>
      <selection pane="bottomLeft" activeCell="C22" sqref="C22"/>
    </sheetView>
  </sheetViews>
  <sheetFormatPr defaultColWidth="9" defaultRowHeight="13.5"/>
  <cols>
    <col min="1" max="1" width="7.125" style="2" bestFit="1" customWidth="1"/>
    <col min="2" max="2" width="6.125" style="2" customWidth="1"/>
    <col min="3" max="3" width="5.25" style="2" customWidth="1"/>
    <col min="4" max="4" width="4.875" style="2" customWidth="1"/>
    <col min="5" max="30" width="5.875" style="2" customWidth="1"/>
    <col min="31" max="31" width="12" style="2" customWidth="1"/>
    <col min="32" max="32" width="10" style="2" customWidth="1"/>
    <col min="33" max="33" width="9" style="10" customWidth="1"/>
    <col min="34" max="34" width="23.875" style="2" customWidth="1"/>
    <col min="35" max="35" width="7.375" style="10" customWidth="1"/>
    <col min="37" max="37" width="9" style="10" customWidth="1"/>
    <col min="41" max="41" width="8" style="2" customWidth="1"/>
    <col min="42" max="42" width="6.75" style="2" customWidth="1"/>
  </cols>
  <sheetData>
    <row r="1" spans="1:42">
      <c r="A1" s="2" t="s">
        <v>2440</v>
      </c>
      <c r="E1" s="2" t="s">
        <v>1830</v>
      </c>
      <c r="R1" s="2" t="s">
        <v>2441</v>
      </c>
      <c r="AO1" s="2" t="s">
        <v>2442</v>
      </c>
    </row>
    <row r="2" spans="1:42">
      <c r="A2" s="11" t="s">
        <v>398</v>
      </c>
      <c r="B2" s="11" t="s">
        <v>2443</v>
      </c>
      <c r="C2" s="11" t="s">
        <v>2444</v>
      </c>
      <c r="D2" s="11" t="s">
        <v>1466</v>
      </c>
      <c r="E2" s="12" t="s">
        <v>2445</v>
      </c>
      <c r="F2" s="12" t="s">
        <v>2446</v>
      </c>
      <c r="G2" s="12" t="s">
        <v>2447</v>
      </c>
      <c r="H2" s="12" t="s">
        <v>2448</v>
      </c>
      <c r="I2" s="12" t="s">
        <v>2449</v>
      </c>
      <c r="J2" s="12" t="s">
        <v>2450</v>
      </c>
      <c r="K2" s="12" t="s">
        <v>2451</v>
      </c>
      <c r="L2" s="12" t="s">
        <v>2452</v>
      </c>
      <c r="M2" s="12" t="s">
        <v>2453</v>
      </c>
      <c r="N2" s="12" t="s">
        <v>2454</v>
      </c>
      <c r="O2" s="12" t="s">
        <v>2455</v>
      </c>
      <c r="P2" s="12" t="s">
        <v>2456</v>
      </c>
      <c r="Q2" s="12" t="s">
        <v>1774</v>
      </c>
      <c r="R2" s="13" t="s">
        <v>2445</v>
      </c>
      <c r="S2" s="13" t="s">
        <v>2446</v>
      </c>
      <c r="T2" s="13" t="s">
        <v>2447</v>
      </c>
      <c r="U2" s="13" t="s">
        <v>2448</v>
      </c>
      <c r="V2" s="13" t="s">
        <v>2449</v>
      </c>
      <c r="W2" s="13" t="s">
        <v>2450</v>
      </c>
      <c r="X2" s="13" t="s">
        <v>2451</v>
      </c>
      <c r="Y2" s="13" t="s">
        <v>2452</v>
      </c>
      <c r="Z2" s="13" t="s">
        <v>2453</v>
      </c>
      <c r="AA2" s="13" t="s">
        <v>2454</v>
      </c>
      <c r="AB2" s="13" t="s">
        <v>2455</v>
      </c>
      <c r="AC2" s="13" t="s">
        <v>2456</v>
      </c>
      <c r="AD2" s="13" t="s">
        <v>1774</v>
      </c>
      <c r="AE2" s="11" t="s">
        <v>1816</v>
      </c>
      <c r="AF2" s="11" t="s">
        <v>2457</v>
      </c>
      <c r="AG2" s="11" t="s">
        <v>2458</v>
      </c>
      <c r="AH2" s="11" t="s">
        <v>2459</v>
      </c>
      <c r="AI2" s="11" t="s">
        <v>2460</v>
      </c>
      <c r="AJ2" s="11" t="s">
        <v>2461</v>
      </c>
      <c r="AK2" s="11" t="s">
        <v>2462</v>
      </c>
      <c r="AL2" s="11" t="s">
        <v>2463</v>
      </c>
      <c r="AM2" s="11" t="s">
        <v>2464</v>
      </c>
      <c r="AN2" s="11" t="s">
        <v>2465</v>
      </c>
      <c r="AO2" s="12" t="s">
        <v>1650</v>
      </c>
      <c r="AP2" s="12" t="s">
        <v>1650</v>
      </c>
    </row>
    <row r="3" spans="1:42">
      <c r="A3" s="2" t="s">
        <v>402</v>
      </c>
      <c r="B3" s="2" t="s">
        <v>2466</v>
      </c>
      <c r="C3" s="2" t="s">
        <v>2466</v>
      </c>
      <c r="D3" s="2" t="s">
        <v>216</v>
      </c>
      <c r="E3" s="2">
        <v>0.5</v>
      </c>
      <c r="F3" s="2">
        <v>0.5</v>
      </c>
      <c r="G3" s="2">
        <v>1</v>
      </c>
      <c r="H3" s="2">
        <v>1</v>
      </c>
      <c r="I3" s="2">
        <v>1</v>
      </c>
      <c r="J3" s="2">
        <v>1</v>
      </c>
      <c r="K3" s="2">
        <v>1</v>
      </c>
      <c r="L3" s="2">
        <v>1</v>
      </c>
      <c r="M3" s="2">
        <v>2</v>
      </c>
      <c r="N3" s="2">
        <v>1</v>
      </c>
      <c r="O3" s="2">
        <v>1</v>
      </c>
      <c r="P3" s="2">
        <v>1</v>
      </c>
      <c r="Q3" s="2">
        <v>0.5</v>
      </c>
      <c r="R3" s="2">
        <v>0.3</v>
      </c>
      <c r="S3" s="2">
        <v>0.3</v>
      </c>
      <c r="T3" s="2">
        <v>0.3</v>
      </c>
      <c r="U3" s="2">
        <v>0.3</v>
      </c>
      <c r="V3" s="2">
        <v>0.5</v>
      </c>
      <c r="W3" s="2">
        <v>0.5</v>
      </c>
      <c r="X3" s="2">
        <v>0.5</v>
      </c>
      <c r="Y3" s="2">
        <v>0.6</v>
      </c>
      <c r="Z3" s="2">
        <v>0.8</v>
      </c>
      <c r="AA3" s="2">
        <v>0.5</v>
      </c>
      <c r="AB3" s="2">
        <v>0.5</v>
      </c>
      <c r="AC3" s="2">
        <v>0.3</v>
      </c>
      <c r="AD3" s="2">
        <v>0.3</v>
      </c>
      <c r="AE3" s="2" t="s">
        <v>2445</v>
      </c>
      <c r="AF3" s="2" t="s">
        <v>2444</v>
      </c>
      <c r="AG3" s="10" t="s">
        <v>2467</v>
      </c>
      <c r="AH3" s="2" t="s">
        <v>2419</v>
      </c>
      <c r="AI3" s="10" t="s">
        <v>2468</v>
      </c>
      <c r="AJ3" s="2" t="s">
        <v>2469</v>
      </c>
      <c r="AK3" s="10" t="s">
        <v>2470</v>
      </c>
      <c r="AL3" s="2" t="s">
        <v>2471</v>
      </c>
      <c r="AM3" s="10" t="s">
        <v>2464</v>
      </c>
      <c r="AN3" s="2" t="s">
        <v>2472</v>
      </c>
      <c r="AO3" s="10" t="s">
        <v>2473</v>
      </c>
      <c r="AP3" s="2" t="s">
        <v>2474</v>
      </c>
    </row>
    <row r="4" spans="1:42">
      <c r="B4" s="2" t="s">
        <v>2475</v>
      </c>
      <c r="C4" s="2" t="s">
        <v>2475</v>
      </c>
      <c r="D4" s="2" t="s">
        <v>402</v>
      </c>
      <c r="E4" s="2">
        <v>0.6</v>
      </c>
      <c r="F4" s="2">
        <v>0.6</v>
      </c>
      <c r="G4" s="2">
        <v>1.5</v>
      </c>
      <c r="H4" s="2">
        <v>1.5</v>
      </c>
      <c r="I4" s="2">
        <v>1.5</v>
      </c>
      <c r="J4" s="2">
        <v>1.5</v>
      </c>
      <c r="K4" s="2">
        <v>1.5</v>
      </c>
      <c r="L4" s="2">
        <v>1.5</v>
      </c>
      <c r="M4" s="2">
        <v>3</v>
      </c>
      <c r="N4" s="2">
        <v>1.5</v>
      </c>
      <c r="O4" s="2">
        <v>1.5</v>
      </c>
      <c r="P4" s="2">
        <v>1.5</v>
      </c>
      <c r="Q4" s="2">
        <v>0.8</v>
      </c>
      <c r="R4" s="2">
        <v>0.4</v>
      </c>
      <c r="S4" s="2">
        <v>0.4</v>
      </c>
      <c r="T4" s="2">
        <v>0.4</v>
      </c>
      <c r="U4" s="2">
        <v>0.4</v>
      </c>
      <c r="V4" s="2">
        <v>0.6</v>
      </c>
      <c r="W4" s="2">
        <v>0.6</v>
      </c>
      <c r="X4" s="2">
        <v>0.6</v>
      </c>
      <c r="Y4" s="2">
        <v>0.8</v>
      </c>
      <c r="AA4" s="2">
        <v>0.6</v>
      </c>
      <c r="AB4" s="2">
        <v>0.6</v>
      </c>
      <c r="AC4" s="2">
        <v>0.4</v>
      </c>
      <c r="AD4" s="2">
        <v>0.4</v>
      </c>
      <c r="AE4" s="2" t="s">
        <v>2446</v>
      </c>
      <c r="AF4" s="2" t="s">
        <v>2476</v>
      </c>
      <c r="AG4" s="10" t="s">
        <v>2477</v>
      </c>
      <c r="AH4" s="2" t="s">
        <v>2478</v>
      </c>
      <c r="AI4" s="10" t="s">
        <v>2479</v>
      </c>
      <c r="AJ4" s="2" t="s">
        <v>2480</v>
      </c>
      <c r="AK4" s="10" t="s">
        <v>2481</v>
      </c>
      <c r="AL4" s="2" t="s">
        <v>2482</v>
      </c>
      <c r="AM4" s="10" t="s">
        <v>2483</v>
      </c>
      <c r="AN4" s="2" t="s">
        <v>2484</v>
      </c>
      <c r="AO4" s="10" t="s">
        <v>2485</v>
      </c>
      <c r="AP4" s="2" t="s">
        <v>2486</v>
      </c>
    </row>
    <row r="5" spans="1:42">
      <c r="B5" s="2" t="s">
        <v>2487</v>
      </c>
      <c r="C5" s="2" t="s">
        <v>2487</v>
      </c>
      <c r="D5" s="2" t="s">
        <v>2466</v>
      </c>
      <c r="E5" s="2">
        <v>0.8</v>
      </c>
      <c r="F5" s="2">
        <v>0.8</v>
      </c>
      <c r="G5" s="2">
        <v>2</v>
      </c>
      <c r="H5" s="2">
        <v>2</v>
      </c>
      <c r="I5" s="2">
        <v>2</v>
      </c>
      <c r="J5" s="2">
        <v>2</v>
      </c>
      <c r="K5" s="2">
        <v>2</v>
      </c>
      <c r="L5" s="2">
        <v>2</v>
      </c>
      <c r="M5" s="2">
        <v>4</v>
      </c>
      <c r="N5" s="2">
        <v>2</v>
      </c>
      <c r="O5" s="2">
        <v>2</v>
      </c>
      <c r="P5" s="2">
        <v>2</v>
      </c>
      <c r="Q5" s="2">
        <v>1</v>
      </c>
      <c r="R5" s="2">
        <v>0.5</v>
      </c>
      <c r="S5" s="2">
        <v>0.5</v>
      </c>
      <c r="T5" s="2">
        <v>0.5</v>
      </c>
      <c r="U5" s="2">
        <v>0.5</v>
      </c>
      <c r="V5" s="2">
        <v>0.8</v>
      </c>
      <c r="W5" s="2">
        <v>0.8</v>
      </c>
      <c r="X5" s="2">
        <v>0.8</v>
      </c>
      <c r="AA5" s="2">
        <v>0.8</v>
      </c>
      <c r="AC5" s="2">
        <v>0.5</v>
      </c>
      <c r="AD5" s="2">
        <v>0.5</v>
      </c>
      <c r="AE5" s="2" t="s">
        <v>2447</v>
      </c>
      <c r="AF5" s="2" t="s">
        <v>2488</v>
      </c>
      <c r="AG5" s="10" t="s">
        <v>2489</v>
      </c>
      <c r="AH5" s="2" t="s">
        <v>2490</v>
      </c>
      <c r="AI5" s="10" t="s">
        <v>2491</v>
      </c>
      <c r="AJ5" s="2" t="s">
        <v>2492</v>
      </c>
      <c r="AK5" s="10" t="s">
        <v>2493</v>
      </c>
      <c r="AL5" s="2" t="s">
        <v>2494</v>
      </c>
      <c r="AM5" s="10" t="s">
        <v>2495</v>
      </c>
      <c r="AN5" s="2" t="s">
        <v>2496</v>
      </c>
      <c r="AO5" s="10" t="s">
        <v>2497</v>
      </c>
      <c r="AP5" s="2" t="s">
        <v>2498</v>
      </c>
    </row>
    <row r="6" spans="1:42">
      <c r="B6" s="2" t="s">
        <v>2499</v>
      </c>
      <c r="C6" s="2" t="s">
        <v>2499</v>
      </c>
      <c r="D6" s="2" t="s">
        <v>2475</v>
      </c>
      <c r="E6" s="2">
        <v>1</v>
      </c>
      <c r="F6" s="2">
        <v>1</v>
      </c>
      <c r="G6" s="2">
        <v>3</v>
      </c>
      <c r="H6" s="2">
        <v>3</v>
      </c>
      <c r="I6" s="2">
        <v>3</v>
      </c>
      <c r="J6" s="2">
        <v>3</v>
      </c>
      <c r="K6" s="2">
        <v>3</v>
      </c>
      <c r="L6" s="2">
        <v>3</v>
      </c>
      <c r="M6" s="2">
        <v>5</v>
      </c>
      <c r="N6" s="2">
        <v>3</v>
      </c>
      <c r="O6" s="2">
        <v>3</v>
      </c>
      <c r="P6" s="2">
        <v>3</v>
      </c>
      <c r="Q6" s="2">
        <v>2</v>
      </c>
      <c r="R6" s="2">
        <v>0.6</v>
      </c>
      <c r="S6" s="2">
        <v>0.6</v>
      </c>
      <c r="T6" s="2">
        <v>0.6</v>
      </c>
      <c r="U6" s="2">
        <v>0.6</v>
      </c>
      <c r="AC6" s="2">
        <v>0.6</v>
      </c>
      <c r="AD6" s="2">
        <v>0.6</v>
      </c>
      <c r="AE6" s="2" t="s">
        <v>2448</v>
      </c>
      <c r="AF6" s="2" t="s">
        <v>2500</v>
      </c>
      <c r="AG6" s="10" t="s">
        <v>2501</v>
      </c>
      <c r="AH6" s="2" t="s">
        <v>2502</v>
      </c>
      <c r="AI6" s="10" t="s">
        <v>2503</v>
      </c>
      <c r="AJ6" s="2" t="s">
        <v>2504</v>
      </c>
      <c r="AK6" s="10" t="s">
        <v>2505</v>
      </c>
      <c r="AL6" s="2" t="s">
        <v>2506</v>
      </c>
      <c r="AM6" s="10" t="s">
        <v>2507</v>
      </c>
      <c r="AO6" s="10" t="s">
        <v>2508</v>
      </c>
      <c r="AP6" s="2" t="s">
        <v>2509</v>
      </c>
    </row>
    <row r="7" spans="1:42">
      <c r="B7" s="2" t="s">
        <v>2510</v>
      </c>
      <c r="C7" s="2" t="s">
        <v>2510</v>
      </c>
      <c r="D7" s="2" t="s">
        <v>2487</v>
      </c>
      <c r="E7" s="2">
        <v>1.5</v>
      </c>
      <c r="F7" s="2">
        <v>1.5</v>
      </c>
      <c r="G7" s="2">
        <v>4</v>
      </c>
      <c r="H7" s="2">
        <v>4</v>
      </c>
      <c r="I7" s="2">
        <v>4</v>
      </c>
      <c r="J7" s="2">
        <v>4</v>
      </c>
      <c r="K7" s="2">
        <v>4</v>
      </c>
      <c r="L7" s="2">
        <v>4</v>
      </c>
      <c r="M7" s="2">
        <v>6</v>
      </c>
      <c r="N7" s="2">
        <v>4</v>
      </c>
      <c r="O7" s="2">
        <v>4</v>
      </c>
      <c r="P7" s="2">
        <v>4</v>
      </c>
      <c r="Q7" s="2">
        <v>3</v>
      </c>
      <c r="AD7" s="2">
        <v>0.7</v>
      </c>
      <c r="AE7" s="2" t="s">
        <v>2449</v>
      </c>
      <c r="AF7" s="2" t="s">
        <v>2511</v>
      </c>
      <c r="AG7" s="10" t="s">
        <v>2512</v>
      </c>
      <c r="AH7" s="2" t="s">
        <v>2513</v>
      </c>
      <c r="AI7" s="10" t="s">
        <v>2514</v>
      </c>
      <c r="AJ7" s="2" t="s">
        <v>2515</v>
      </c>
      <c r="AK7" s="10" t="s">
        <v>2516</v>
      </c>
      <c r="AL7" s="2" t="s">
        <v>2517</v>
      </c>
      <c r="AM7" s="10" t="s">
        <v>2518</v>
      </c>
      <c r="AO7" s="10" t="s">
        <v>2519</v>
      </c>
      <c r="AP7" s="2" t="s">
        <v>2520</v>
      </c>
    </row>
    <row r="8" spans="1:42">
      <c r="B8" s="2" t="s">
        <v>2521</v>
      </c>
      <c r="C8" s="2" t="s">
        <v>2521</v>
      </c>
      <c r="D8" s="2" t="s">
        <v>2499</v>
      </c>
      <c r="E8" s="2">
        <v>2</v>
      </c>
      <c r="F8" s="2">
        <v>2</v>
      </c>
      <c r="G8" s="2">
        <v>5</v>
      </c>
      <c r="H8" s="2">
        <v>5</v>
      </c>
      <c r="I8" s="2">
        <v>5</v>
      </c>
      <c r="J8" s="2">
        <v>5</v>
      </c>
      <c r="K8" s="2">
        <v>5</v>
      </c>
      <c r="L8" s="2">
        <v>5</v>
      </c>
      <c r="M8" s="2">
        <v>7</v>
      </c>
      <c r="N8" s="2">
        <v>5</v>
      </c>
      <c r="Q8" s="2">
        <v>4</v>
      </c>
      <c r="AE8" s="2" t="s">
        <v>2450</v>
      </c>
      <c r="AF8" s="2" t="s">
        <v>2522</v>
      </c>
      <c r="AG8" s="10" t="s">
        <v>2523</v>
      </c>
      <c r="AH8" s="2" t="s">
        <v>2524</v>
      </c>
      <c r="AI8" s="10" t="s">
        <v>2525</v>
      </c>
      <c r="AJ8" s="2" t="s">
        <v>2526</v>
      </c>
      <c r="AK8" s="10" t="s">
        <v>2527</v>
      </c>
      <c r="AL8" s="2" t="s">
        <v>1668</v>
      </c>
      <c r="AM8" s="10" t="s">
        <v>1668</v>
      </c>
      <c r="AO8" s="2">
        <v>11</v>
      </c>
      <c r="AP8" s="2" t="s">
        <v>2528</v>
      </c>
    </row>
    <row r="9" spans="1:42">
      <c r="B9" s="2" t="s">
        <v>2529</v>
      </c>
      <c r="C9" s="2" t="s">
        <v>2529</v>
      </c>
      <c r="D9" s="2" t="s">
        <v>2510</v>
      </c>
      <c r="M9" s="2">
        <v>8</v>
      </c>
      <c r="AE9" s="2" t="s">
        <v>2451</v>
      </c>
      <c r="AG9" s="10" t="s">
        <v>2530</v>
      </c>
      <c r="AH9" s="2" t="s">
        <v>2531</v>
      </c>
      <c r="AI9" s="10" t="s">
        <v>2532</v>
      </c>
      <c r="AJ9" s="2" t="s">
        <v>2533</v>
      </c>
      <c r="AO9" s="2">
        <v>12</v>
      </c>
      <c r="AP9" s="2" t="s">
        <v>2534</v>
      </c>
    </row>
    <row r="10" spans="1:42">
      <c r="B10" s="2" t="s">
        <v>2535</v>
      </c>
      <c r="C10" s="2" t="s">
        <v>2535</v>
      </c>
      <c r="D10" s="2" t="s">
        <v>2521</v>
      </c>
      <c r="M10" s="2">
        <v>9</v>
      </c>
      <c r="AE10" s="2" t="s">
        <v>2452</v>
      </c>
      <c r="AG10" s="10" t="s">
        <v>2536</v>
      </c>
      <c r="AH10" s="2" t="s">
        <v>2537</v>
      </c>
      <c r="AO10" s="2">
        <v>13</v>
      </c>
      <c r="AP10" s="2" t="s">
        <v>2538</v>
      </c>
    </row>
    <row r="11" spans="1:42">
      <c r="B11" s="2" t="s">
        <v>2539</v>
      </c>
      <c r="C11" s="2" t="s">
        <v>2539</v>
      </c>
      <c r="D11" s="2" t="s">
        <v>2529</v>
      </c>
      <c r="M11" s="2">
        <v>10</v>
      </c>
      <c r="AE11" s="2" t="s">
        <v>2453</v>
      </c>
      <c r="AG11" s="10" t="s">
        <v>2540</v>
      </c>
      <c r="AH11" s="2" t="s">
        <v>2541</v>
      </c>
      <c r="AO11" s="2">
        <v>14</v>
      </c>
      <c r="AP11" s="2" t="s">
        <v>2542</v>
      </c>
    </row>
    <row r="12" spans="1:42">
      <c r="B12" s="2" t="s">
        <v>2543</v>
      </c>
      <c r="C12" s="2" t="s">
        <v>2543</v>
      </c>
      <c r="D12" s="2" t="s">
        <v>2535</v>
      </c>
      <c r="M12" s="2">
        <v>11</v>
      </c>
      <c r="AE12" s="2" t="s">
        <v>2454</v>
      </c>
      <c r="AG12" s="10" t="s">
        <v>2544</v>
      </c>
      <c r="AH12" s="2" t="s">
        <v>2545</v>
      </c>
      <c r="AO12" s="2">
        <v>15</v>
      </c>
      <c r="AP12" s="2" t="s">
        <v>2546</v>
      </c>
    </row>
    <row r="13" spans="1:42">
      <c r="B13" s="2" t="s">
        <v>2547</v>
      </c>
      <c r="C13" s="2" t="s">
        <v>2547</v>
      </c>
      <c r="D13" s="2" t="s">
        <v>2539</v>
      </c>
      <c r="M13" s="2">
        <v>12</v>
      </c>
      <c r="AE13" s="2" t="s">
        <v>2455</v>
      </c>
      <c r="AG13" s="10" t="s">
        <v>2548</v>
      </c>
      <c r="AH13" s="2" t="s">
        <v>2549</v>
      </c>
      <c r="AO13" s="2">
        <v>16</v>
      </c>
      <c r="AP13" s="2" t="s">
        <v>2550</v>
      </c>
    </row>
    <row r="14" spans="1:42">
      <c r="B14" s="2" t="s">
        <v>2551</v>
      </c>
      <c r="C14" s="2" t="s">
        <v>2551</v>
      </c>
      <c r="D14" s="2" t="s">
        <v>2543</v>
      </c>
      <c r="M14" s="2">
        <v>13</v>
      </c>
      <c r="AE14" s="2" t="s">
        <v>2456</v>
      </c>
      <c r="AG14" s="10" t="s">
        <v>2552</v>
      </c>
      <c r="AH14" s="2" t="s">
        <v>2553</v>
      </c>
      <c r="AO14" s="2">
        <v>17</v>
      </c>
      <c r="AP14" s="2" t="s">
        <v>2554</v>
      </c>
    </row>
    <row r="15" spans="1:42">
      <c r="B15" s="2" t="s">
        <v>2555</v>
      </c>
      <c r="C15" s="2" t="s">
        <v>2555</v>
      </c>
      <c r="D15" s="2" t="s">
        <v>2547</v>
      </c>
      <c r="AE15" s="2" t="s">
        <v>1774</v>
      </c>
      <c r="AG15" s="10" t="s">
        <v>2556</v>
      </c>
      <c r="AH15" s="2" t="s">
        <v>2557</v>
      </c>
      <c r="AO15" s="2">
        <v>18</v>
      </c>
      <c r="AP15" s="2" t="s">
        <v>2558</v>
      </c>
    </row>
    <row r="16" spans="1:42">
      <c r="B16" s="2" t="s">
        <v>2559</v>
      </c>
      <c r="C16" s="2" t="s">
        <v>2559</v>
      </c>
      <c r="D16" s="2" t="s">
        <v>2551</v>
      </c>
      <c r="AG16" s="10" t="s">
        <v>2560</v>
      </c>
      <c r="AH16" s="2" t="s">
        <v>2561</v>
      </c>
      <c r="AO16" s="2">
        <v>19</v>
      </c>
      <c r="AP16" s="2" t="s">
        <v>2562</v>
      </c>
    </row>
    <row r="17" spans="2:42">
      <c r="B17" s="2" t="s">
        <v>2563</v>
      </c>
      <c r="C17" s="2" t="s">
        <v>2563</v>
      </c>
      <c r="D17" s="2" t="s">
        <v>2555</v>
      </c>
      <c r="AG17" s="10" t="s">
        <v>2564</v>
      </c>
      <c r="AH17" s="2" t="s">
        <v>2565</v>
      </c>
      <c r="AO17" s="2">
        <v>20</v>
      </c>
      <c r="AP17" s="2" t="s">
        <v>2566</v>
      </c>
    </row>
    <row r="18" spans="2:42">
      <c r="B18" s="2" t="s">
        <v>2567</v>
      </c>
      <c r="C18" s="2" t="s">
        <v>2567</v>
      </c>
      <c r="D18" s="2" t="s">
        <v>2559</v>
      </c>
      <c r="AG18" s="10" t="s">
        <v>2568</v>
      </c>
      <c r="AH18" s="2" t="s">
        <v>2569</v>
      </c>
      <c r="AO18" s="2">
        <v>21</v>
      </c>
      <c r="AP18" s="2" t="s">
        <v>2570</v>
      </c>
    </row>
    <row r="19" spans="2:42">
      <c r="B19" s="2" t="s">
        <v>2571</v>
      </c>
      <c r="C19" s="2" t="s">
        <v>2571</v>
      </c>
      <c r="D19" s="2" t="s">
        <v>2563</v>
      </c>
      <c r="AG19" s="10" t="s">
        <v>2572</v>
      </c>
      <c r="AH19" s="2" t="s">
        <v>2573</v>
      </c>
      <c r="AO19" s="2">
        <v>22</v>
      </c>
      <c r="AP19" s="2" t="s">
        <v>2574</v>
      </c>
    </row>
    <row r="20" spans="2:42">
      <c r="B20" s="2" t="s">
        <v>2575</v>
      </c>
      <c r="C20" s="2" t="s">
        <v>2575</v>
      </c>
      <c r="D20" s="2" t="s">
        <v>2567</v>
      </c>
      <c r="AG20" s="10" t="s">
        <v>2576</v>
      </c>
      <c r="AH20" s="2" t="s">
        <v>2577</v>
      </c>
      <c r="AO20" s="2">
        <v>23</v>
      </c>
      <c r="AP20" s="2" t="s">
        <v>2578</v>
      </c>
    </row>
    <row r="21" spans="2:42">
      <c r="B21" s="2" t="s">
        <v>2579</v>
      </c>
      <c r="C21" s="2" t="s">
        <v>2579</v>
      </c>
      <c r="D21" s="2" t="s">
        <v>2571</v>
      </c>
      <c r="AG21" s="10" t="s">
        <v>2580</v>
      </c>
      <c r="AH21" s="2" t="s">
        <v>2581</v>
      </c>
      <c r="AO21" s="2">
        <v>24</v>
      </c>
      <c r="AP21" s="2" t="s">
        <v>2582</v>
      </c>
    </row>
    <row r="22" spans="2:42">
      <c r="B22" s="2" t="s">
        <v>2583</v>
      </c>
      <c r="C22" s="2" t="s">
        <v>2583</v>
      </c>
      <c r="D22" s="2" t="s">
        <v>2575</v>
      </c>
      <c r="AG22" s="10" t="s">
        <v>2584</v>
      </c>
      <c r="AH22" s="2" t="s">
        <v>2585</v>
      </c>
      <c r="AO22" s="2">
        <v>25</v>
      </c>
      <c r="AP22" s="2" t="s">
        <v>2586</v>
      </c>
    </row>
    <row r="23" spans="2:42">
      <c r="B23" s="2" t="s">
        <v>2587</v>
      </c>
      <c r="C23" s="2" t="s">
        <v>2587</v>
      </c>
      <c r="D23" s="2" t="s">
        <v>2579</v>
      </c>
      <c r="AG23" s="10" t="s">
        <v>2588</v>
      </c>
      <c r="AH23" s="2" t="s">
        <v>2589</v>
      </c>
      <c r="AO23" s="2">
        <v>26</v>
      </c>
      <c r="AP23" s="2" t="s">
        <v>2590</v>
      </c>
    </row>
    <row r="24" spans="2:42">
      <c r="B24" s="2" t="s">
        <v>2591</v>
      </c>
      <c r="C24" s="2" t="s">
        <v>2591</v>
      </c>
      <c r="D24" s="2" t="s">
        <v>2583</v>
      </c>
      <c r="AG24" s="10" t="s">
        <v>2592</v>
      </c>
      <c r="AH24" s="2" t="s">
        <v>2593</v>
      </c>
      <c r="AO24" s="2">
        <v>27</v>
      </c>
      <c r="AP24" s="2" t="s">
        <v>2594</v>
      </c>
    </row>
    <row r="25" spans="2:42">
      <c r="B25" s="2" t="s">
        <v>2595</v>
      </c>
      <c r="C25" s="2" t="s">
        <v>2595</v>
      </c>
      <c r="D25" s="2" t="s">
        <v>2587</v>
      </c>
      <c r="AG25" s="10" t="s">
        <v>2596</v>
      </c>
      <c r="AH25" s="2" t="s">
        <v>2597</v>
      </c>
      <c r="AO25" s="2">
        <v>28</v>
      </c>
      <c r="AP25" s="2" t="s">
        <v>2598</v>
      </c>
    </row>
    <row r="26" spans="2:42">
      <c r="B26" s="2" t="s">
        <v>2599</v>
      </c>
      <c r="C26" s="2" t="s">
        <v>2599</v>
      </c>
      <c r="D26" s="2" t="s">
        <v>2591</v>
      </c>
      <c r="AG26" s="10" t="s">
        <v>2600</v>
      </c>
      <c r="AH26" s="2" t="s">
        <v>2601</v>
      </c>
      <c r="AO26" s="2">
        <v>29</v>
      </c>
      <c r="AP26" s="2" t="s">
        <v>2602</v>
      </c>
    </row>
    <row r="27" spans="2:42">
      <c r="B27" s="2" t="s">
        <v>2603</v>
      </c>
      <c r="C27" s="2" t="s">
        <v>2603</v>
      </c>
      <c r="D27" s="2" t="s">
        <v>2595</v>
      </c>
      <c r="AG27" s="10" t="s">
        <v>2604</v>
      </c>
      <c r="AH27" s="2" t="s">
        <v>2605</v>
      </c>
      <c r="AO27" s="2">
        <v>30</v>
      </c>
      <c r="AP27" s="2" t="s">
        <v>2606</v>
      </c>
    </row>
    <row r="28" spans="2:42">
      <c r="B28" s="2" t="s">
        <v>1476</v>
      </c>
      <c r="C28" s="2" t="s">
        <v>1476</v>
      </c>
      <c r="D28" s="2" t="s">
        <v>2599</v>
      </c>
      <c r="AG28" s="10" t="s">
        <v>2607</v>
      </c>
      <c r="AH28" s="2" t="s">
        <v>2608</v>
      </c>
      <c r="AO28" s="2">
        <v>31</v>
      </c>
      <c r="AP28" s="2" t="s">
        <v>2609</v>
      </c>
    </row>
    <row r="29" spans="2:42">
      <c r="B29" s="2" t="s">
        <v>2610</v>
      </c>
      <c r="C29" s="2" t="s">
        <v>2610</v>
      </c>
      <c r="D29" s="2" t="s">
        <v>2603</v>
      </c>
      <c r="AG29" s="10" t="s">
        <v>2611</v>
      </c>
      <c r="AH29" s="2" t="s">
        <v>2612</v>
      </c>
      <c r="AO29" s="2">
        <v>32</v>
      </c>
      <c r="AP29" s="2" t="s">
        <v>2613</v>
      </c>
    </row>
    <row r="30" spans="2:42">
      <c r="B30" s="2" t="s">
        <v>2614</v>
      </c>
      <c r="C30" s="2" t="s">
        <v>2614</v>
      </c>
      <c r="D30" s="2" t="s">
        <v>1476</v>
      </c>
      <c r="AG30" s="10" t="s">
        <v>2615</v>
      </c>
      <c r="AH30" s="2" t="s">
        <v>2616</v>
      </c>
      <c r="AO30" s="2">
        <v>33</v>
      </c>
      <c r="AP30" s="2" t="s">
        <v>2617</v>
      </c>
    </row>
    <row r="31" spans="2:42">
      <c r="B31" s="2" t="s">
        <v>2618</v>
      </c>
      <c r="C31" s="2" t="s">
        <v>2618</v>
      </c>
      <c r="D31" s="2" t="s">
        <v>2610</v>
      </c>
      <c r="AG31" s="10" t="s">
        <v>2619</v>
      </c>
      <c r="AH31" s="2" t="s">
        <v>2620</v>
      </c>
      <c r="AO31" s="2">
        <v>34</v>
      </c>
      <c r="AP31" s="2" t="s">
        <v>2621</v>
      </c>
    </row>
    <row r="32" spans="2:42">
      <c r="B32" s="2" t="s">
        <v>2622</v>
      </c>
      <c r="C32" s="2" t="s">
        <v>2622</v>
      </c>
      <c r="D32" s="2" t="s">
        <v>2614</v>
      </c>
      <c r="AG32" s="10" t="s">
        <v>2623</v>
      </c>
      <c r="AH32" s="2" t="s">
        <v>2624</v>
      </c>
      <c r="AO32" s="2">
        <v>35</v>
      </c>
      <c r="AP32" s="2" t="s">
        <v>2625</v>
      </c>
    </row>
    <row r="33" spans="2:42">
      <c r="B33" s="2" t="s">
        <v>2626</v>
      </c>
      <c r="C33" s="2" t="s">
        <v>2626</v>
      </c>
      <c r="D33" s="2" t="s">
        <v>2618</v>
      </c>
      <c r="AG33" s="10" t="s">
        <v>2627</v>
      </c>
      <c r="AH33" s="2" t="s">
        <v>2628</v>
      </c>
      <c r="AO33" s="2">
        <v>36</v>
      </c>
      <c r="AP33" s="2" t="s">
        <v>2629</v>
      </c>
    </row>
    <row r="34" spans="2:42">
      <c r="B34" s="2" t="s">
        <v>2630</v>
      </c>
      <c r="C34" s="2" t="s">
        <v>2630</v>
      </c>
      <c r="D34" s="2" t="s">
        <v>2622</v>
      </c>
      <c r="AG34" s="10" t="s">
        <v>2631</v>
      </c>
      <c r="AH34" s="2" t="s">
        <v>2632</v>
      </c>
      <c r="AO34" s="2">
        <v>37</v>
      </c>
      <c r="AP34" s="2" t="s">
        <v>2633</v>
      </c>
    </row>
    <row r="35" spans="2:42">
      <c r="B35" s="2" t="s">
        <v>2634</v>
      </c>
      <c r="C35" s="2" t="s">
        <v>2634</v>
      </c>
      <c r="D35" s="2" t="s">
        <v>2626</v>
      </c>
      <c r="AG35" s="10" t="s">
        <v>2635</v>
      </c>
      <c r="AH35" s="2" t="s">
        <v>2636</v>
      </c>
      <c r="AO35" s="2">
        <v>38</v>
      </c>
      <c r="AP35" s="2" t="s">
        <v>2637</v>
      </c>
    </row>
    <row r="36" spans="2:42">
      <c r="B36" s="2" t="s">
        <v>2638</v>
      </c>
      <c r="C36" s="2" t="s">
        <v>2638</v>
      </c>
      <c r="D36" s="2" t="s">
        <v>2630</v>
      </c>
      <c r="AG36" s="10" t="s">
        <v>2639</v>
      </c>
      <c r="AH36" s="2" t="s">
        <v>2640</v>
      </c>
      <c r="AO36" s="2">
        <v>39</v>
      </c>
      <c r="AP36" s="2" t="s">
        <v>2641</v>
      </c>
    </row>
    <row r="37" spans="2:42">
      <c r="B37" s="2" t="s">
        <v>2642</v>
      </c>
      <c r="C37" s="2" t="s">
        <v>2642</v>
      </c>
      <c r="D37" s="2" t="s">
        <v>2634</v>
      </c>
      <c r="AG37" s="10" t="s">
        <v>2643</v>
      </c>
      <c r="AH37" s="2" t="s">
        <v>2644</v>
      </c>
      <c r="AO37" s="2">
        <v>40</v>
      </c>
      <c r="AP37" s="2" t="s">
        <v>2645</v>
      </c>
    </row>
    <row r="38" spans="2:42">
      <c r="B38" s="2" t="s">
        <v>2646</v>
      </c>
      <c r="C38" s="2" t="s">
        <v>2646</v>
      </c>
      <c r="D38" s="2" t="s">
        <v>2638</v>
      </c>
      <c r="AG38" s="10" t="s">
        <v>2647</v>
      </c>
      <c r="AH38" s="2" t="s">
        <v>2648</v>
      </c>
      <c r="AO38" s="2">
        <v>41</v>
      </c>
      <c r="AP38" s="2" t="s">
        <v>2649</v>
      </c>
    </row>
    <row r="39" spans="2:42">
      <c r="B39" s="2" t="s">
        <v>2650</v>
      </c>
      <c r="C39" s="2" t="s">
        <v>2650</v>
      </c>
      <c r="D39" s="2" t="s">
        <v>2642</v>
      </c>
      <c r="AG39" s="10" t="s">
        <v>2651</v>
      </c>
      <c r="AH39" s="2" t="s">
        <v>2652</v>
      </c>
      <c r="AO39" s="2">
        <v>42</v>
      </c>
      <c r="AP39" s="2" t="s">
        <v>2653</v>
      </c>
    </row>
    <row r="40" spans="2:42">
      <c r="B40" s="2" t="s">
        <v>2654</v>
      </c>
      <c r="C40" s="2" t="s">
        <v>2654</v>
      </c>
      <c r="D40" s="2" t="s">
        <v>2646</v>
      </c>
      <c r="AG40" s="10" t="s">
        <v>2655</v>
      </c>
      <c r="AH40" s="2" t="s">
        <v>2656</v>
      </c>
      <c r="AO40" s="2">
        <v>43</v>
      </c>
      <c r="AP40" s="2" t="s">
        <v>2657</v>
      </c>
    </row>
    <row r="41" spans="2:42">
      <c r="B41" s="2" t="s">
        <v>2658</v>
      </c>
      <c r="C41" s="2" t="s">
        <v>2658</v>
      </c>
      <c r="D41" s="2" t="s">
        <v>2650</v>
      </c>
      <c r="AG41" s="10" t="s">
        <v>2659</v>
      </c>
      <c r="AH41" s="2" t="s">
        <v>2660</v>
      </c>
      <c r="AO41" s="2">
        <v>44</v>
      </c>
      <c r="AP41" s="2" t="s">
        <v>2661</v>
      </c>
    </row>
    <row r="42" spans="2:42">
      <c r="B42" s="2" t="s">
        <v>2662</v>
      </c>
      <c r="C42" s="2" t="s">
        <v>2662</v>
      </c>
      <c r="D42" s="2" t="s">
        <v>2654</v>
      </c>
      <c r="AG42" s="10" t="s">
        <v>2663</v>
      </c>
      <c r="AH42" s="2" t="s">
        <v>2664</v>
      </c>
      <c r="AO42" s="2">
        <v>45</v>
      </c>
      <c r="AP42" s="2" t="s">
        <v>2665</v>
      </c>
    </row>
    <row r="43" spans="2:42">
      <c r="B43" s="2" t="s">
        <v>2666</v>
      </c>
      <c r="C43" s="2" t="s">
        <v>2666</v>
      </c>
      <c r="D43" s="2" t="s">
        <v>2658</v>
      </c>
      <c r="AG43" s="10" t="s">
        <v>2667</v>
      </c>
      <c r="AH43" s="2" t="s">
        <v>2668</v>
      </c>
      <c r="AO43" s="2">
        <v>46</v>
      </c>
      <c r="AP43" s="2" t="s">
        <v>2669</v>
      </c>
    </row>
    <row r="44" spans="2:42">
      <c r="B44" s="2" t="s">
        <v>2670</v>
      </c>
      <c r="C44" s="2" t="s">
        <v>2670</v>
      </c>
      <c r="D44" s="2" t="s">
        <v>2662</v>
      </c>
      <c r="AG44" s="10" t="s">
        <v>2671</v>
      </c>
      <c r="AH44" s="2" t="s">
        <v>2672</v>
      </c>
      <c r="AO44" s="2">
        <v>99</v>
      </c>
      <c r="AP44" s="2" t="s">
        <v>2673</v>
      </c>
    </row>
    <row r="45" spans="2:42">
      <c r="B45" s="2" t="s">
        <v>2674</v>
      </c>
      <c r="C45" s="2" t="s">
        <v>2674</v>
      </c>
      <c r="D45" s="2" t="s">
        <v>2666</v>
      </c>
      <c r="AG45" s="10" t="s">
        <v>2675</v>
      </c>
      <c r="AH45" s="2" t="s">
        <v>2676</v>
      </c>
    </row>
    <row r="46" spans="2:42">
      <c r="B46" s="2" t="s">
        <v>2677</v>
      </c>
      <c r="C46" s="2" t="s">
        <v>2677</v>
      </c>
      <c r="D46" s="2" t="s">
        <v>2670</v>
      </c>
      <c r="AG46" s="10" t="s">
        <v>2678</v>
      </c>
      <c r="AH46" s="2" t="s">
        <v>2679</v>
      </c>
    </row>
    <row r="47" spans="2:42">
      <c r="B47" s="2" t="s">
        <v>2680</v>
      </c>
      <c r="C47" s="2" t="s">
        <v>2680</v>
      </c>
      <c r="D47" s="2" t="s">
        <v>2674</v>
      </c>
      <c r="AG47" s="10" t="s">
        <v>2681</v>
      </c>
      <c r="AH47" s="2" t="s">
        <v>2682</v>
      </c>
    </row>
    <row r="48" spans="2:42">
      <c r="B48" s="2" t="s">
        <v>2683</v>
      </c>
      <c r="C48" s="2" t="s">
        <v>2683</v>
      </c>
      <c r="D48" s="2" t="s">
        <v>2677</v>
      </c>
      <c r="AG48" s="10" t="s">
        <v>2684</v>
      </c>
      <c r="AH48" s="2" t="s">
        <v>2685</v>
      </c>
    </row>
    <row r="49" spans="2:34">
      <c r="B49" s="2" t="s">
        <v>2686</v>
      </c>
      <c r="C49" s="2" t="s">
        <v>2686</v>
      </c>
      <c r="D49" s="2" t="s">
        <v>2680</v>
      </c>
      <c r="AG49" s="10" t="s">
        <v>2687</v>
      </c>
      <c r="AH49" s="2" t="s">
        <v>2688</v>
      </c>
    </row>
    <row r="50" spans="2:34">
      <c r="D50" s="2" t="s">
        <v>2683</v>
      </c>
      <c r="AG50" s="10" t="s">
        <v>2689</v>
      </c>
      <c r="AH50" s="2" t="s">
        <v>2690</v>
      </c>
    </row>
    <row r="51" spans="2:34">
      <c r="D51" s="2" t="s">
        <v>2686</v>
      </c>
      <c r="AG51" s="10" t="s">
        <v>2691</v>
      </c>
      <c r="AH51" s="2" t="s">
        <v>2692</v>
      </c>
    </row>
    <row r="52" spans="2:34">
      <c r="AG52" s="10" t="s">
        <v>2693</v>
      </c>
      <c r="AH52" s="2" t="s">
        <v>2694</v>
      </c>
    </row>
    <row r="53" spans="2:34">
      <c r="AG53" s="10" t="s">
        <v>2695</v>
      </c>
      <c r="AH53" s="2" t="s">
        <v>2696</v>
      </c>
    </row>
    <row r="54" spans="2:34">
      <c r="AG54" s="10" t="s">
        <v>2697</v>
      </c>
      <c r="AH54" s="2" t="s">
        <v>2698</v>
      </c>
    </row>
    <row r="55" spans="2:34">
      <c r="AG55" s="10" t="s">
        <v>2699</v>
      </c>
      <c r="AH55" s="2" t="s">
        <v>2700</v>
      </c>
    </row>
    <row r="56" spans="2:34">
      <c r="AG56" s="10" t="s">
        <v>2701</v>
      </c>
      <c r="AH56" s="2" t="s">
        <v>2702</v>
      </c>
    </row>
    <row r="57" spans="2:34">
      <c r="AG57" s="10" t="s">
        <v>2703</v>
      </c>
      <c r="AH57" s="2" t="s">
        <v>2704</v>
      </c>
    </row>
    <row r="58" spans="2:34">
      <c r="AG58" s="10" t="s">
        <v>2705</v>
      </c>
      <c r="AH58" s="2" t="s">
        <v>2706</v>
      </c>
    </row>
    <row r="59" spans="2:34">
      <c r="AG59" s="10" t="s">
        <v>2707</v>
      </c>
      <c r="AH59" s="2" t="s">
        <v>2708</v>
      </c>
    </row>
    <row r="60" spans="2:34">
      <c r="AG60" s="10" t="s">
        <v>2709</v>
      </c>
      <c r="AH60" s="2" t="s">
        <v>2710</v>
      </c>
    </row>
    <row r="61" spans="2:34">
      <c r="AG61" s="10" t="s">
        <v>2711</v>
      </c>
      <c r="AH61" s="2" t="s">
        <v>2712</v>
      </c>
    </row>
    <row r="62" spans="2:34">
      <c r="AG62" s="10" t="s">
        <v>2713</v>
      </c>
      <c r="AH62" s="2" t="s">
        <v>2714</v>
      </c>
    </row>
    <row r="63" spans="2:34">
      <c r="AG63" s="10" t="s">
        <v>2715</v>
      </c>
      <c r="AH63" s="2" t="s">
        <v>2716</v>
      </c>
    </row>
    <row r="64" spans="2:34">
      <c r="AG64" s="10" t="s">
        <v>2717</v>
      </c>
      <c r="AH64" s="2" t="s">
        <v>2718</v>
      </c>
    </row>
    <row r="65" spans="33:34">
      <c r="AG65" s="10" t="s">
        <v>2719</v>
      </c>
      <c r="AH65" s="2" t="s">
        <v>2720</v>
      </c>
    </row>
    <row r="66" spans="33:34">
      <c r="AG66" s="10" t="s">
        <v>2721</v>
      </c>
      <c r="AH66" s="2" t="s">
        <v>2722</v>
      </c>
    </row>
    <row r="67" spans="33:34">
      <c r="AG67" s="10" t="s">
        <v>2723</v>
      </c>
      <c r="AH67" s="2" t="s">
        <v>2724</v>
      </c>
    </row>
    <row r="68" spans="33:34">
      <c r="AG68" s="10" t="s">
        <v>2725</v>
      </c>
      <c r="AH68" s="2" t="s">
        <v>2726</v>
      </c>
    </row>
  </sheetData>
  <customSheetViews>
    <customSheetView guid="{E028D9C5-4CBB-430B-B1F8-80DD1ABDFA29}">
      <pane ySplit="2" topLeftCell="A4" activePane="bottomLeft" state="frozen"/>
      <selection pane="bottomLeft" activeCell="K13" sqref="K13"/>
      <pageMargins left="0.7" right="0.7" top="0.75" bottom="0.75" header="0.3" footer="0.3"/>
    </customSheetView>
    <customSheetView guid="{D83ABAE7-1F4C-4C77-8E04-C5172671ED17}" topLeftCell="F1">
      <pane ySplit="2" topLeftCell="A3" activePane="bottomLeft" state="frozen"/>
      <selection pane="bottomLeft" activeCell="K13" sqref="K13"/>
      <pageMargins left="0.7" right="0.7" top="0.75" bottom="0.75" header="0.3" footer="0.3"/>
    </customSheetView>
    <customSheetView guid="{2DA24103-744A-47E0-AFFB-F94A0E194D57}" topLeftCell="F1">
      <pane ySplit="2" topLeftCell="A3" activePane="bottomLeft" state="frozen"/>
      <selection pane="bottomLeft" activeCell="K13" sqref="K13"/>
      <pageMargins left="0.7" right="0.7" top="0.75" bottom="0.75" header="0.3" footer="0.3"/>
    </customSheetView>
  </customSheetViews>
  <phoneticPr fontId="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5">
    <tabColor rgb="FFCCFFCC"/>
  </sheetPr>
  <dimension ref="A1:C65"/>
  <sheetViews>
    <sheetView workbookViewId="0">
      <selection activeCell="B8" sqref="B8"/>
    </sheetView>
  </sheetViews>
  <sheetFormatPr defaultColWidth="9" defaultRowHeight="13.5"/>
  <cols>
    <col min="1" max="1" width="52.625" style="4" customWidth="1"/>
    <col min="2" max="2" width="9" style="4" customWidth="1"/>
    <col min="3" max="16384" width="9" style="4"/>
  </cols>
  <sheetData>
    <row r="1" spans="1:3">
      <c r="A1" s="29" t="s">
        <v>2419</v>
      </c>
      <c r="B1" s="29" t="s">
        <v>2467</v>
      </c>
      <c r="C1" s="24" t="s">
        <v>2727</v>
      </c>
    </row>
    <row r="2" spans="1:3">
      <c r="A2" s="29" t="s">
        <v>2698</v>
      </c>
      <c r="B2" s="29" t="s">
        <v>2697</v>
      </c>
    </row>
    <row r="3" spans="1:3">
      <c r="A3" s="29" t="s">
        <v>2478</v>
      </c>
      <c r="B3" s="29" t="s">
        <v>2477</v>
      </c>
    </row>
    <row r="4" spans="1:3">
      <c r="A4" s="29" t="s">
        <v>2490</v>
      </c>
      <c r="B4" s="29" t="s">
        <v>2489</v>
      </c>
    </row>
    <row r="5" spans="1:3">
      <c r="A5" s="29" t="s">
        <v>2502</v>
      </c>
      <c r="B5" s="29" t="s">
        <v>2501</v>
      </c>
    </row>
    <row r="6" spans="1:3">
      <c r="A6" s="29" t="s">
        <v>2513</v>
      </c>
      <c r="B6" s="29" t="s">
        <v>2512</v>
      </c>
    </row>
    <row r="7" spans="1:3">
      <c r="A7" s="29" t="s">
        <v>2524</v>
      </c>
      <c r="B7" s="29" t="s">
        <v>2523</v>
      </c>
    </row>
    <row r="8" spans="1:3">
      <c r="A8" s="29" t="s">
        <v>2531</v>
      </c>
      <c r="B8" s="29" t="s">
        <v>2530</v>
      </c>
    </row>
    <row r="9" spans="1:3">
      <c r="A9" s="29" t="s">
        <v>2537</v>
      </c>
      <c r="B9" s="29" t="s">
        <v>2536</v>
      </c>
    </row>
    <row r="10" spans="1:3">
      <c r="A10" s="29" t="s">
        <v>2728</v>
      </c>
      <c r="B10" s="29" t="s">
        <v>2540</v>
      </c>
    </row>
    <row r="11" spans="1:3">
      <c r="A11" s="29" t="s">
        <v>2545</v>
      </c>
      <c r="B11" s="29" t="s">
        <v>2544</v>
      </c>
    </row>
    <row r="12" spans="1:3">
      <c r="A12" s="29" t="s">
        <v>2549</v>
      </c>
      <c r="B12" s="29" t="s">
        <v>2548</v>
      </c>
    </row>
    <row r="13" spans="1:3">
      <c r="A13" s="29" t="s">
        <v>2553</v>
      </c>
      <c r="B13" s="29" t="s">
        <v>2552</v>
      </c>
    </row>
    <row r="14" spans="1:3">
      <c r="A14" s="29" t="s">
        <v>2557</v>
      </c>
      <c r="B14" s="29" t="s">
        <v>2556</v>
      </c>
    </row>
    <row r="15" spans="1:3">
      <c r="A15" s="29" t="s">
        <v>2729</v>
      </c>
      <c r="B15" s="29" t="s">
        <v>2560</v>
      </c>
    </row>
    <row r="16" spans="1:3">
      <c r="A16" s="29" t="s">
        <v>2730</v>
      </c>
      <c r="B16" s="29" t="s">
        <v>2564</v>
      </c>
    </row>
    <row r="17" spans="1:2">
      <c r="A17" s="29" t="s">
        <v>2569</v>
      </c>
      <c r="B17" s="29" t="s">
        <v>2568</v>
      </c>
    </row>
    <row r="18" spans="1:2">
      <c r="A18" s="29" t="s">
        <v>2731</v>
      </c>
      <c r="B18" s="29" t="s">
        <v>2572</v>
      </c>
    </row>
    <row r="19" spans="1:2">
      <c r="A19" s="29" t="s">
        <v>2577</v>
      </c>
      <c r="B19" s="29" t="s">
        <v>2576</v>
      </c>
    </row>
    <row r="20" spans="1:2">
      <c r="A20" s="29" t="s">
        <v>2581</v>
      </c>
      <c r="B20" s="29" t="s">
        <v>2580</v>
      </c>
    </row>
    <row r="21" spans="1:2">
      <c r="A21" s="29" t="s">
        <v>2732</v>
      </c>
      <c r="B21" s="29" t="s">
        <v>2584</v>
      </c>
    </row>
    <row r="22" spans="1:2">
      <c r="A22" s="29" t="s">
        <v>2593</v>
      </c>
      <c r="B22" s="29" t="s">
        <v>2592</v>
      </c>
    </row>
    <row r="23" spans="1:2">
      <c r="A23" s="29" t="s">
        <v>2597</v>
      </c>
      <c r="B23" s="29" t="s">
        <v>2596</v>
      </c>
    </row>
    <row r="24" spans="1:2">
      <c r="A24" s="29" t="s">
        <v>2601</v>
      </c>
      <c r="B24" s="29" t="s">
        <v>2600</v>
      </c>
    </row>
    <row r="25" spans="1:2">
      <c r="A25" s="29" t="s">
        <v>2605</v>
      </c>
      <c r="B25" s="29" t="s">
        <v>2604</v>
      </c>
    </row>
    <row r="26" spans="1:2">
      <c r="A26" s="29" t="s">
        <v>2608</v>
      </c>
      <c r="B26" s="29" t="s">
        <v>2607</v>
      </c>
    </row>
    <row r="27" spans="1:2">
      <c r="A27" s="29" t="s">
        <v>2612</v>
      </c>
      <c r="B27" s="29" t="s">
        <v>2611</v>
      </c>
    </row>
    <row r="28" spans="1:2">
      <c r="A28" s="29" t="s">
        <v>2733</v>
      </c>
      <c r="B28" s="29" t="s">
        <v>2615</v>
      </c>
    </row>
    <row r="29" spans="1:2">
      <c r="A29" s="29" t="s">
        <v>2620</v>
      </c>
      <c r="B29" s="29" t="s">
        <v>2619</v>
      </c>
    </row>
    <row r="30" spans="1:2">
      <c r="A30" s="29" t="s">
        <v>2734</v>
      </c>
      <c r="B30" s="29" t="s">
        <v>2623</v>
      </c>
    </row>
    <row r="31" spans="1:2">
      <c r="A31" s="29" t="s">
        <v>2735</v>
      </c>
      <c r="B31" s="29" t="s">
        <v>2627</v>
      </c>
    </row>
    <row r="32" spans="1:2">
      <c r="A32" s="29" t="s">
        <v>2632</v>
      </c>
      <c r="B32" s="29" t="s">
        <v>2631</v>
      </c>
    </row>
    <row r="33" spans="1:2">
      <c r="A33" s="29" t="s">
        <v>2636</v>
      </c>
      <c r="B33" s="29" t="s">
        <v>2635</v>
      </c>
    </row>
    <row r="34" spans="1:2">
      <c r="A34" s="29" t="s">
        <v>2640</v>
      </c>
      <c r="B34" s="29" t="s">
        <v>2639</v>
      </c>
    </row>
    <row r="35" spans="1:2">
      <c r="A35" s="29" t="s">
        <v>2644</v>
      </c>
      <c r="B35" s="29" t="s">
        <v>2643</v>
      </c>
    </row>
    <row r="36" spans="1:2">
      <c r="A36" s="29" t="s">
        <v>2648</v>
      </c>
      <c r="B36" s="29" t="s">
        <v>2647</v>
      </c>
    </row>
    <row r="37" spans="1:2">
      <c r="A37" s="29" t="s">
        <v>2736</v>
      </c>
      <c r="B37" s="29" t="s">
        <v>2651</v>
      </c>
    </row>
    <row r="38" spans="1:2">
      <c r="A38" s="29" t="s">
        <v>2737</v>
      </c>
      <c r="B38" s="29" t="s">
        <v>2655</v>
      </c>
    </row>
    <row r="39" spans="1:2">
      <c r="A39" s="29" t="s">
        <v>2660</v>
      </c>
      <c r="B39" s="29" t="s">
        <v>2659</v>
      </c>
    </row>
    <row r="40" spans="1:2">
      <c r="A40" s="29" t="s">
        <v>2664</v>
      </c>
      <c r="B40" s="29" t="s">
        <v>2663</v>
      </c>
    </row>
    <row r="41" spans="1:2">
      <c r="A41" s="29" t="s">
        <v>2668</v>
      </c>
      <c r="B41" s="29" t="s">
        <v>2667</v>
      </c>
    </row>
    <row r="42" spans="1:2">
      <c r="A42" s="29" t="s">
        <v>2672</v>
      </c>
      <c r="B42" s="29" t="s">
        <v>2671</v>
      </c>
    </row>
    <row r="43" spans="1:2">
      <c r="A43" s="29" t="s">
        <v>2676</v>
      </c>
      <c r="B43" s="29" t="s">
        <v>2675</v>
      </c>
    </row>
    <row r="44" spans="1:2">
      <c r="A44" s="29" t="s">
        <v>2738</v>
      </c>
      <c r="B44" s="29" t="s">
        <v>2678</v>
      </c>
    </row>
    <row r="45" spans="1:2">
      <c r="A45" s="29" t="s">
        <v>2739</v>
      </c>
      <c r="B45" s="29" t="s">
        <v>2681</v>
      </c>
    </row>
    <row r="46" spans="1:2">
      <c r="A46" s="29" t="s">
        <v>2685</v>
      </c>
      <c r="B46" s="29" t="s">
        <v>2684</v>
      </c>
    </row>
    <row r="47" spans="1:2">
      <c r="A47" s="29" t="s">
        <v>2740</v>
      </c>
      <c r="B47" s="29" t="s">
        <v>2687</v>
      </c>
    </row>
    <row r="48" spans="1:2">
      <c r="A48" s="29" t="s">
        <v>2741</v>
      </c>
      <c r="B48" s="29" t="s">
        <v>2689</v>
      </c>
    </row>
    <row r="49" spans="1:2">
      <c r="A49" s="29" t="s">
        <v>2742</v>
      </c>
      <c r="B49" s="29" t="s">
        <v>2691</v>
      </c>
    </row>
    <row r="50" spans="1:2">
      <c r="A50" s="29" t="s">
        <v>2694</v>
      </c>
      <c r="B50" s="29" t="s">
        <v>2693</v>
      </c>
    </row>
    <row r="51" spans="1:2">
      <c r="A51" s="29" t="s">
        <v>2696</v>
      </c>
      <c r="B51" s="29" t="s">
        <v>2695</v>
      </c>
    </row>
    <row r="52" spans="1:2">
      <c r="A52" s="29" t="s">
        <v>2743</v>
      </c>
      <c r="B52" s="29" t="s">
        <v>2699</v>
      </c>
    </row>
    <row r="53" spans="1:2">
      <c r="A53" s="29" t="s">
        <v>2702</v>
      </c>
      <c r="B53" s="29" t="s">
        <v>2701</v>
      </c>
    </row>
    <row r="54" spans="1:2">
      <c r="A54" s="29" t="s">
        <v>2704</v>
      </c>
      <c r="B54" s="29" t="s">
        <v>2703</v>
      </c>
    </row>
    <row r="55" spans="1:2">
      <c r="A55" s="29" t="s">
        <v>2706</v>
      </c>
      <c r="B55" s="29" t="s">
        <v>2705</v>
      </c>
    </row>
    <row r="56" spans="1:2">
      <c r="A56" s="29" t="s">
        <v>2708</v>
      </c>
      <c r="B56" s="29" t="s">
        <v>2707</v>
      </c>
    </row>
    <row r="57" spans="1:2">
      <c r="A57" s="29" t="s">
        <v>2710</v>
      </c>
      <c r="B57" s="29" t="s">
        <v>2709</v>
      </c>
    </row>
    <row r="58" spans="1:2">
      <c r="A58" s="29" t="s">
        <v>2712</v>
      </c>
      <c r="B58" s="29" t="s">
        <v>2711</v>
      </c>
    </row>
    <row r="59" spans="1:2">
      <c r="A59" s="29" t="s">
        <v>2714</v>
      </c>
      <c r="B59" s="29" t="s">
        <v>2713</v>
      </c>
    </row>
    <row r="60" spans="1:2">
      <c r="A60" s="29" t="s">
        <v>2716</v>
      </c>
      <c r="B60" s="29" t="s">
        <v>2715</v>
      </c>
    </row>
    <row r="61" spans="1:2">
      <c r="A61" s="29" t="s">
        <v>2718</v>
      </c>
      <c r="B61" s="29" t="s">
        <v>2717</v>
      </c>
    </row>
    <row r="62" spans="1:2">
      <c r="A62" s="29" t="s">
        <v>2744</v>
      </c>
      <c r="B62" s="29" t="s">
        <v>2719</v>
      </c>
    </row>
    <row r="63" spans="1:2">
      <c r="A63" s="29" t="s">
        <v>2722</v>
      </c>
      <c r="B63" s="29" t="s">
        <v>2721</v>
      </c>
    </row>
    <row r="64" spans="1:2">
      <c r="A64" s="29" t="s">
        <v>2724</v>
      </c>
      <c r="B64" s="29" t="s">
        <v>2723</v>
      </c>
    </row>
    <row r="65" spans="1:2">
      <c r="A65" s="29" t="s">
        <v>1668</v>
      </c>
      <c r="B65" s="29" t="s">
        <v>2725</v>
      </c>
    </row>
  </sheetData>
  <customSheetViews>
    <customSheetView guid="{E028D9C5-4CBB-430B-B1F8-80DD1ABDFA29}">
      <pageMargins left="0.7" right="0.7" top="0.75" bottom="0.75" header="0.3" footer="0.3"/>
      <pageSetup paperSize="9" orientation="portrait"/>
    </customSheetView>
    <customSheetView guid="{D83ABAE7-1F4C-4C77-8E04-C5172671ED17}">
      <pageMargins left="0.7" right="0.7" top="0.75" bottom="0.75" header="0.3" footer="0.3"/>
      <pageSetup paperSize="9" orientation="portrait" r:id="rId1"/>
    </customSheetView>
    <customSheetView guid="{2DA24103-744A-47E0-AFFB-F94A0E194D57}">
      <pageMargins left="0.7" right="0.7" top="0.75" bottom="0.75" header="0.3" footer="0.3"/>
      <pageSetup paperSize="9" orientation="portrait" r:id="rId2"/>
    </customSheetView>
  </customSheetViews>
  <phoneticPr fontId="7"/>
  <hyperlinks>
    <hyperlink ref="C1" location="トップ!A1" display="トップ" xr:uid="{00000000-0004-0000-0500-000000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4">
    <tabColor rgb="FFCCFFCC"/>
  </sheetPr>
  <dimension ref="A1:U37"/>
  <sheetViews>
    <sheetView topLeftCell="B1" workbookViewId="0">
      <selection activeCell="O2" sqref="O2"/>
    </sheetView>
  </sheetViews>
  <sheetFormatPr defaultColWidth="9" defaultRowHeight="13.5"/>
  <cols>
    <col min="1" max="1" width="9" style="4" customWidth="1"/>
    <col min="2" max="2" width="9" style="4" bestFit="1" customWidth="1"/>
    <col min="3" max="3" width="32.75" style="4" bestFit="1" customWidth="1"/>
    <col min="4" max="4" width="13" style="4" bestFit="1" customWidth="1"/>
    <col min="5" max="7" width="3.375" style="4" bestFit="1" customWidth="1"/>
    <col min="8" max="8" width="3.375" style="4" customWidth="1"/>
    <col min="9" max="9" width="3.375" style="4" bestFit="1" customWidth="1"/>
    <col min="10" max="10" width="4.375" style="4" bestFit="1" customWidth="1"/>
    <col min="11" max="11" width="24.125" style="4" bestFit="1" customWidth="1"/>
    <col min="12" max="12" width="20.375" style="4" bestFit="1" customWidth="1"/>
    <col min="13" max="13" width="36.125" style="4" bestFit="1" customWidth="1"/>
    <col min="14" max="14" width="55.25" style="4" bestFit="1" customWidth="1"/>
    <col min="15" max="15" width="6.75" style="4" bestFit="1" customWidth="1"/>
    <col min="16" max="19" width="3.375" style="4" bestFit="1" customWidth="1"/>
    <col min="20" max="20" width="3.375" style="4" customWidth="1"/>
    <col min="21" max="21" width="3.625" style="4" customWidth="1"/>
    <col min="22" max="22" width="9" style="4" customWidth="1"/>
    <col min="23" max="16384" width="9" style="4"/>
  </cols>
  <sheetData>
    <row r="1" spans="1:21">
      <c r="A1" s="1" t="s">
        <v>2727</v>
      </c>
      <c r="I1" s="28" t="s">
        <v>2745</v>
      </c>
      <c r="K1" s="4" t="s">
        <v>2746</v>
      </c>
      <c r="L1" s="4" t="s">
        <v>2747</v>
      </c>
      <c r="Q1" s="26" t="s">
        <v>2473</v>
      </c>
      <c r="R1" s="4">
        <v>11</v>
      </c>
      <c r="S1" s="4" t="s">
        <v>2748</v>
      </c>
      <c r="T1" s="4" t="s">
        <v>2749</v>
      </c>
    </row>
    <row r="2" spans="1:21">
      <c r="B2" s="4" t="s">
        <v>2750</v>
      </c>
      <c r="C2" s="4" t="s">
        <v>2751</v>
      </c>
      <c r="D2" s="4" t="s">
        <v>402</v>
      </c>
      <c r="E2" s="4">
        <v>21</v>
      </c>
      <c r="F2" s="4" t="s">
        <v>2752</v>
      </c>
      <c r="G2" s="4">
        <v>1</v>
      </c>
      <c r="H2" s="4">
        <v>1</v>
      </c>
      <c r="I2" s="28" t="s">
        <v>2753</v>
      </c>
      <c r="J2" s="4">
        <v>100</v>
      </c>
      <c r="K2" s="4" t="s">
        <v>2754</v>
      </c>
      <c r="L2" s="4" t="s">
        <v>2755</v>
      </c>
      <c r="M2" s="25" t="s">
        <v>2756</v>
      </c>
      <c r="N2" s="4" t="s">
        <v>2757</v>
      </c>
      <c r="O2" s="27" t="s">
        <v>2758</v>
      </c>
      <c r="P2" s="28" t="s">
        <v>2759</v>
      </c>
      <c r="Q2" s="26" t="s">
        <v>2485</v>
      </c>
      <c r="R2" s="4">
        <v>12</v>
      </c>
      <c r="S2" s="4" t="s">
        <v>2760</v>
      </c>
      <c r="T2" s="4" t="s">
        <v>2761</v>
      </c>
      <c r="U2" s="4" t="s">
        <v>2762</v>
      </c>
    </row>
    <row r="3" spans="1:21">
      <c r="A3" s="4" t="s">
        <v>2763</v>
      </c>
      <c r="B3" s="4" t="s">
        <v>2764</v>
      </c>
      <c r="C3" s="4" t="s">
        <v>2765</v>
      </c>
      <c r="D3" s="4" t="s">
        <v>2499</v>
      </c>
      <c r="E3" s="4">
        <v>22</v>
      </c>
      <c r="F3" s="4" t="s">
        <v>2766</v>
      </c>
      <c r="G3" s="4">
        <v>2</v>
      </c>
      <c r="H3" s="4">
        <v>2</v>
      </c>
      <c r="J3" s="4">
        <v>125</v>
      </c>
      <c r="K3" s="4" t="s">
        <v>2767</v>
      </c>
      <c r="L3" s="4" t="s">
        <v>2768</v>
      </c>
      <c r="M3" s="25" t="s">
        <v>2769</v>
      </c>
      <c r="N3" s="4" t="s">
        <v>2770</v>
      </c>
      <c r="O3" s="27" t="s">
        <v>2771</v>
      </c>
      <c r="Q3" s="26" t="s">
        <v>2497</v>
      </c>
      <c r="R3" s="4">
        <v>13</v>
      </c>
      <c r="T3" s="4" t="s">
        <v>2772</v>
      </c>
    </row>
    <row r="4" spans="1:21">
      <c r="A4" s="4" t="s">
        <v>2773</v>
      </c>
      <c r="C4" s="4" t="s">
        <v>2774</v>
      </c>
      <c r="D4" s="4" t="s">
        <v>2475</v>
      </c>
      <c r="E4" s="4">
        <v>23</v>
      </c>
      <c r="G4" s="4">
        <v>3</v>
      </c>
      <c r="H4" s="4">
        <v>3</v>
      </c>
      <c r="J4" s="4">
        <v>165</v>
      </c>
      <c r="K4" s="4" t="s">
        <v>2775</v>
      </c>
      <c r="L4" s="4" t="s">
        <v>2776</v>
      </c>
      <c r="M4" s="25" t="s">
        <v>2777</v>
      </c>
      <c r="N4" s="4" t="s">
        <v>2778</v>
      </c>
      <c r="Q4" s="26" t="s">
        <v>2508</v>
      </c>
      <c r="R4" s="4">
        <v>14</v>
      </c>
    </row>
    <row r="5" spans="1:21">
      <c r="A5" s="4" t="s">
        <v>2444</v>
      </c>
      <c r="C5" s="4" t="s">
        <v>2779</v>
      </c>
      <c r="E5" s="4">
        <v>24</v>
      </c>
      <c r="G5" s="4">
        <v>4</v>
      </c>
      <c r="H5" s="4">
        <v>4</v>
      </c>
      <c r="L5" s="4" t="s">
        <v>2780</v>
      </c>
      <c r="M5" s="25" t="s">
        <v>2781</v>
      </c>
      <c r="N5" s="4" t="s">
        <v>2782</v>
      </c>
      <c r="Q5" s="26" t="s">
        <v>2519</v>
      </c>
      <c r="R5" s="4">
        <v>15</v>
      </c>
    </row>
    <row r="6" spans="1:21">
      <c r="C6" s="4" t="s">
        <v>2783</v>
      </c>
      <c r="E6" s="4">
        <v>25</v>
      </c>
      <c r="G6" s="4">
        <v>5</v>
      </c>
      <c r="H6" s="4">
        <v>5</v>
      </c>
      <c r="L6" s="4" t="s">
        <v>2784</v>
      </c>
      <c r="M6" s="25" t="s">
        <v>2785</v>
      </c>
      <c r="N6" s="4" t="s">
        <v>2786</v>
      </c>
      <c r="Q6" s="26"/>
      <c r="R6" s="4">
        <v>16</v>
      </c>
    </row>
    <row r="7" spans="1:21">
      <c r="E7" s="4">
        <v>26</v>
      </c>
      <c r="G7" s="4">
        <v>6</v>
      </c>
      <c r="H7" s="4">
        <v>6</v>
      </c>
      <c r="L7" s="4" t="s">
        <v>2787</v>
      </c>
      <c r="M7" s="25" t="s">
        <v>2788</v>
      </c>
      <c r="N7" s="4" t="s">
        <v>2789</v>
      </c>
      <c r="R7" s="4">
        <v>17</v>
      </c>
    </row>
    <row r="8" spans="1:21">
      <c r="E8" s="4">
        <v>27</v>
      </c>
      <c r="G8" s="4">
        <v>7</v>
      </c>
      <c r="H8" s="4">
        <v>7</v>
      </c>
      <c r="L8" s="4" t="s">
        <v>2790</v>
      </c>
      <c r="M8" s="25" t="s">
        <v>2791</v>
      </c>
      <c r="N8" s="4" t="s">
        <v>2792</v>
      </c>
      <c r="R8" s="4">
        <v>18</v>
      </c>
    </row>
    <row r="9" spans="1:21">
      <c r="E9" s="4">
        <v>28</v>
      </c>
      <c r="G9" s="4">
        <v>8</v>
      </c>
      <c r="H9" s="4">
        <v>8</v>
      </c>
      <c r="L9" s="4" t="s">
        <v>2793</v>
      </c>
      <c r="M9" s="25" t="s">
        <v>2794</v>
      </c>
      <c r="N9" s="4" t="s">
        <v>2795</v>
      </c>
      <c r="R9" s="4">
        <v>19</v>
      </c>
    </row>
    <row r="10" spans="1:21">
      <c r="E10" s="4">
        <v>29</v>
      </c>
      <c r="G10" s="4">
        <v>9</v>
      </c>
      <c r="H10" s="4">
        <v>9</v>
      </c>
      <c r="L10" s="4" t="s">
        <v>2796</v>
      </c>
      <c r="M10" s="25" t="s">
        <v>2797</v>
      </c>
      <c r="N10" s="4" t="s">
        <v>2798</v>
      </c>
      <c r="R10" s="4">
        <v>20</v>
      </c>
    </row>
    <row r="11" spans="1:21">
      <c r="E11" s="4">
        <v>30</v>
      </c>
      <c r="G11" s="4">
        <v>10</v>
      </c>
      <c r="H11" s="4">
        <v>10</v>
      </c>
      <c r="L11" s="4" t="s">
        <v>2799</v>
      </c>
      <c r="M11" s="25" t="s">
        <v>2800</v>
      </c>
      <c r="N11" s="4" t="s">
        <v>2801</v>
      </c>
      <c r="R11" s="4">
        <v>21</v>
      </c>
    </row>
    <row r="12" spans="1:21">
      <c r="E12" s="4">
        <v>31</v>
      </c>
      <c r="G12" s="4">
        <v>11</v>
      </c>
      <c r="H12" s="4">
        <v>11</v>
      </c>
      <c r="L12" s="4" t="s">
        <v>2802</v>
      </c>
      <c r="M12" s="25" t="s">
        <v>2803</v>
      </c>
      <c r="N12" s="4" t="s">
        <v>2804</v>
      </c>
      <c r="R12" s="4">
        <v>22</v>
      </c>
    </row>
    <row r="13" spans="1:21">
      <c r="E13" s="4">
        <v>1</v>
      </c>
      <c r="G13" s="4">
        <v>12</v>
      </c>
      <c r="H13" s="4">
        <v>12</v>
      </c>
      <c r="L13" s="4" t="s">
        <v>1774</v>
      </c>
      <c r="M13" s="25" t="s">
        <v>2805</v>
      </c>
      <c r="R13" s="4">
        <v>23</v>
      </c>
    </row>
    <row r="14" spans="1:21">
      <c r="E14" s="4">
        <v>2</v>
      </c>
      <c r="G14" s="4">
        <v>13</v>
      </c>
      <c r="M14" s="25" t="s">
        <v>2806</v>
      </c>
      <c r="R14" s="4">
        <v>24</v>
      </c>
    </row>
    <row r="15" spans="1:21">
      <c r="E15" s="4">
        <v>3</v>
      </c>
      <c r="G15" s="4">
        <v>14</v>
      </c>
      <c r="M15" s="25" t="s">
        <v>2807</v>
      </c>
      <c r="R15" s="4">
        <v>25</v>
      </c>
    </row>
    <row r="16" spans="1:21">
      <c r="E16" s="4">
        <v>4</v>
      </c>
      <c r="G16" s="4">
        <v>15</v>
      </c>
      <c r="M16" s="25" t="s">
        <v>2808</v>
      </c>
      <c r="R16" s="4">
        <v>26</v>
      </c>
    </row>
    <row r="17" spans="5:18">
      <c r="E17" s="4">
        <v>5</v>
      </c>
      <c r="G17" s="4">
        <v>16</v>
      </c>
      <c r="M17" s="25" t="s">
        <v>2809</v>
      </c>
      <c r="R17" s="4">
        <v>27</v>
      </c>
    </row>
    <row r="18" spans="5:18">
      <c r="E18" s="4">
        <v>6</v>
      </c>
      <c r="G18" s="4">
        <v>17</v>
      </c>
      <c r="M18" s="25" t="s">
        <v>2810</v>
      </c>
      <c r="R18" s="4">
        <v>28</v>
      </c>
    </row>
    <row r="19" spans="5:18">
      <c r="E19" s="4">
        <v>7</v>
      </c>
      <c r="G19" s="4">
        <v>18</v>
      </c>
      <c r="M19" s="25" t="s">
        <v>2811</v>
      </c>
      <c r="R19" s="4">
        <v>29</v>
      </c>
    </row>
    <row r="20" spans="5:18">
      <c r="E20" s="4">
        <v>8</v>
      </c>
      <c r="G20" s="4">
        <v>19</v>
      </c>
      <c r="M20" s="25" t="s">
        <v>2812</v>
      </c>
      <c r="R20" s="4">
        <v>30</v>
      </c>
    </row>
    <row r="21" spans="5:18">
      <c r="E21" s="4">
        <v>9</v>
      </c>
      <c r="G21" s="4">
        <v>20</v>
      </c>
      <c r="R21" s="4">
        <v>31</v>
      </c>
    </row>
    <row r="22" spans="5:18">
      <c r="E22" s="4">
        <v>10</v>
      </c>
      <c r="G22" s="4">
        <v>21</v>
      </c>
      <c r="R22" s="4">
        <v>32</v>
      </c>
    </row>
    <row r="23" spans="5:18">
      <c r="G23" s="4">
        <v>22</v>
      </c>
      <c r="R23" s="4">
        <v>33</v>
      </c>
    </row>
    <row r="24" spans="5:18">
      <c r="G24" s="4">
        <v>23</v>
      </c>
      <c r="R24" s="4">
        <v>34</v>
      </c>
    </row>
    <row r="25" spans="5:18">
      <c r="G25" s="4">
        <v>24</v>
      </c>
      <c r="R25" s="4">
        <v>35</v>
      </c>
    </row>
    <row r="26" spans="5:18">
      <c r="G26" s="4">
        <v>25</v>
      </c>
      <c r="R26" s="4">
        <v>36</v>
      </c>
    </row>
    <row r="27" spans="5:18">
      <c r="G27" s="4">
        <v>26</v>
      </c>
      <c r="R27" s="4">
        <v>37</v>
      </c>
    </row>
    <row r="28" spans="5:18">
      <c r="G28" s="4">
        <v>27</v>
      </c>
      <c r="R28" s="4">
        <v>38</v>
      </c>
    </row>
    <row r="29" spans="5:18">
      <c r="G29" s="4">
        <v>28</v>
      </c>
      <c r="R29" s="4">
        <v>39</v>
      </c>
    </row>
    <row r="30" spans="5:18">
      <c r="G30" s="4">
        <v>29</v>
      </c>
      <c r="R30" s="4">
        <v>40</v>
      </c>
    </row>
    <row r="31" spans="5:18">
      <c r="G31" s="4">
        <v>30</v>
      </c>
      <c r="R31" s="4">
        <v>41</v>
      </c>
    </row>
    <row r="32" spans="5:18">
      <c r="G32" s="4">
        <v>31</v>
      </c>
      <c r="R32" s="4">
        <v>42</v>
      </c>
    </row>
    <row r="33" spans="18:18">
      <c r="R33" s="4">
        <v>43</v>
      </c>
    </row>
    <row r="34" spans="18:18">
      <c r="R34" s="4">
        <v>44</v>
      </c>
    </row>
    <row r="35" spans="18:18">
      <c r="R35" s="4">
        <v>45</v>
      </c>
    </row>
    <row r="36" spans="18:18">
      <c r="R36" s="4">
        <v>46</v>
      </c>
    </row>
    <row r="37" spans="18:18">
      <c r="R37" s="4">
        <v>99</v>
      </c>
    </row>
  </sheetData>
  <customSheetViews>
    <customSheetView guid="{E028D9C5-4CBB-430B-B1F8-80DD1ABDFA29}" topLeftCell="B1">
      <selection activeCell="O2" sqref="O2"/>
      <pageMargins left="0.7" right="0.7" top="0.75" bottom="0.75" header="0.3" footer="0.3"/>
      <pageSetup paperSize="9" orientation="portrait"/>
    </customSheetView>
    <customSheetView guid="{D83ABAE7-1F4C-4C77-8E04-C5172671ED17}" topLeftCell="B1">
      <selection activeCell="O2" sqref="O2"/>
      <pageMargins left="0.7" right="0.7" top="0.75" bottom="0.75" header="0.3" footer="0.3"/>
      <pageSetup paperSize="9" orientation="portrait" r:id="rId1"/>
    </customSheetView>
    <customSheetView guid="{2DA24103-744A-47E0-AFFB-F94A0E194D57}" topLeftCell="B1">
      <selection activeCell="O2" sqref="O2"/>
      <pageMargins left="0.7" right="0.7" top="0.75" bottom="0.75" header="0.3" footer="0.3"/>
      <pageSetup paperSize="9" orientation="portrait" r:id="rId2"/>
    </customSheetView>
  </customSheetViews>
  <phoneticPr fontId="7"/>
  <hyperlinks>
    <hyperlink ref="A1" location="トップ!A1" display="トップ" xr:uid="{00000000-0004-0000-0600-00000000000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8C806-66DC-4180-B6B0-0B3587E860BA}">
  <dimension ref="A1:C7"/>
  <sheetViews>
    <sheetView workbookViewId="0"/>
  </sheetViews>
  <sheetFormatPr defaultColWidth="9" defaultRowHeight="13.5"/>
  <cols>
    <col min="1" max="1" width="5.375" style="3" customWidth="1"/>
    <col min="2" max="2" width="3.125" style="3" customWidth="1"/>
    <col min="3" max="3" width="9" style="3" customWidth="1"/>
    <col min="4" max="16384" width="9" style="3"/>
  </cols>
  <sheetData>
    <row r="1" spans="1:3" ht="14.25">
      <c r="A1" s="682" t="s">
        <v>2813</v>
      </c>
    </row>
    <row r="3" spans="1:3" ht="14.25">
      <c r="B3" s="314"/>
      <c r="C3" s="682" t="s">
        <v>2814</v>
      </c>
    </row>
    <row r="4" spans="1:3" ht="6.75" customHeight="1">
      <c r="C4" s="682"/>
    </row>
    <row r="5" spans="1:3" ht="14.25">
      <c r="B5" s="315" t="s">
        <v>2815</v>
      </c>
      <c r="C5" s="682" t="s">
        <v>2816</v>
      </c>
    </row>
    <row r="6" spans="1:3" ht="6.75" customHeight="1">
      <c r="C6" s="682"/>
    </row>
    <row r="7" spans="1:3" ht="14.25">
      <c r="B7" s="316"/>
      <c r="C7" s="682" t="s">
        <v>2817</v>
      </c>
    </row>
  </sheetData>
  <phoneticPr fontId="7"/>
  <dataValidations count="1">
    <dataValidation showInputMessage="1" showErrorMessage="1" sqref="B5" xr:uid="{794019B0-ECA7-4E94-A52E-AE9F73E200BC}"/>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3A3CB-BF9E-4C8B-8ACC-B382A6C44189}">
  <sheetPr>
    <tabColor rgb="FFCCFFCC"/>
  </sheetPr>
  <dimension ref="A1:AB122"/>
  <sheetViews>
    <sheetView zoomScaleNormal="100" zoomScaleSheetLayoutView="100" workbookViewId="0">
      <selection activeCell="AF18" sqref="AF18"/>
    </sheetView>
  </sheetViews>
  <sheetFormatPr defaultRowHeight="12"/>
  <cols>
    <col min="1" max="27" width="3.125" style="324" customWidth="1"/>
    <col min="28" max="28" width="1.75" style="324" customWidth="1"/>
    <col min="29" max="29" width="9" style="324" customWidth="1"/>
    <col min="30" max="30" width="10.25" style="324" bestFit="1" customWidth="1"/>
    <col min="31" max="31" width="14.125" style="324" bestFit="1" customWidth="1"/>
    <col min="32" max="256" width="9" style="324" customWidth="1"/>
    <col min="257" max="283" width="3.125" style="324" customWidth="1"/>
    <col min="284" max="284" width="1.75" style="324" customWidth="1"/>
    <col min="285" max="285" width="9" style="324" customWidth="1"/>
    <col min="286" max="286" width="10.25" style="324" bestFit="1" customWidth="1"/>
    <col min="287" max="287" width="14.125" style="324" bestFit="1" customWidth="1"/>
    <col min="288" max="512" width="9" style="324" customWidth="1"/>
    <col min="513" max="539" width="3.125" style="324" customWidth="1"/>
    <col min="540" max="540" width="1.75" style="324" customWidth="1"/>
    <col min="541" max="541" width="9" style="324" customWidth="1"/>
    <col min="542" max="542" width="10.25" style="324" bestFit="1" customWidth="1"/>
    <col min="543" max="543" width="14.125" style="324" bestFit="1" customWidth="1"/>
    <col min="544" max="768" width="9" style="324" customWidth="1"/>
    <col min="769" max="795" width="3.125" style="324" customWidth="1"/>
    <col min="796" max="796" width="1.75" style="324" customWidth="1"/>
    <col min="797" max="797" width="9" style="324" customWidth="1"/>
    <col min="798" max="798" width="10.25" style="324" bestFit="1" customWidth="1"/>
    <col min="799" max="799" width="14.125" style="324" bestFit="1" customWidth="1"/>
    <col min="800" max="1024" width="9" style="324" customWidth="1"/>
    <col min="1025" max="1051" width="3.125" style="324" customWidth="1"/>
    <col min="1052" max="1052" width="1.75" style="324" customWidth="1"/>
    <col min="1053" max="1053" width="9" style="324" customWidth="1"/>
    <col min="1054" max="1054" width="10.25" style="324" bestFit="1" customWidth="1"/>
    <col min="1055" max="1055" width="14.125" style="324" bestFit="1" customWidth="1"/>
    <col min="1056" max="1280" width="9" style="324" customWidth="1"/>
    <col min="1281" max="1307" width="3.125" style="324" customWidth="1"/>
    <col min="1308" max="1308" width="1.75" style="324" customWidth="1"/>
    <col min="1309" max="1309" width="9" style="324" customWidth="1"/>
    <col min="1310" max="1310" width="10.25" style="324" bestFit="1" customWidth="1"/>
    <col min="1311" max="1311" width="14.125" style="324" bestFit="1" customWidth="1"/>
    <col min="1312" max="1536" width="9" style="324" customWidth="1"/>
    <col min="1537" max="1563" width="3.125" style="324" customWidth="1"/>
    <col min="1564" max="1564" width="1.75" style="324" customWidth="1"/>
    <col min="1565" max="1565" width="9" style="324" customWidth="1"/>
    <col min="1566" max="1566" width="10.25" style="324" bestFit="1" customWidth="1"/>
    <col min="1567" max="1567" width="14.125" style="324" bestFit="1" customWidth="1"/>
    <col min="1568" max="1792" width="9" style="324" customWidth="1"/>
    <col min="1793" max="1819" width="3.125" style="324" customWidth="1"/>
    <col min="1820" max="1820" width="1.75" style="324" customWidth="1"/>
    <col min="1821" max="1821" width="9" style="324" customWidth="1"/>
    <col min="1822" max="1822" width="10.25" style="324" bestFit="1" customWidth="1"/>
    <col min="1823" max="1823" width="14.125" style="324" bestFit="1" customWidth="1"/>
    <col min="1824" max="2048" width="9" style="324" customWidth="1"/>
    <col min="2049" max="2075" width="3.125" style="324" customWidth="1"/>
    <col min="2076" max="2076" width="1.75" style="324" customWidth="1"/>
    <col min="2077" max="2077" width="9" style="324" customWidth="1"/>
    <col min="2078" max="2078" width="10.25" style="324" bestFit="1" customWidth="1"/>
    <col min="2079" max="2079" width="14.125" style="324" bestFit="1" customWidth="1"/>
    <col min="2080" max="2304" width="9" style="324" customWidth="1"/>
    <col min="2305" max="2331" width="3.125" style="324" customWidth="1"/>
    <col min="2332" max="2332" width="1.75" style="324" customWidth="1"/>
    <col min="2333" max="2333" width="9" style="324" customWidth="1"/>
    <col min="2334" max="2334" width="10.25" style="324" bestFit="1" customWidth="1"/>
    <col min="2335" max="2335" width="14.125" style="324" bestFit="1" customWidth="1"/>
    <col min="2336" max="2560" width="9" style="324" customWidth="1"/>
    <col min="2561" max="2587" width="3.125" style="324" customWidth="1"/>
    <col min="2588" max="2588" width="1.75" style="324" customWidth="1"/>
    <col min="2589" max="2589" width="9" style="324" customWidth="1"/>
    <col min="2590" max="2590" width="10.25" style="324" bestFit="1" customWidth="1"/>
    <col min="2591" max="2591" width="14.125" style="324" bestFit="1" customWidth="1"/>
    <col min="2592" max="2816" width="9" style="324" customWidth="1"/>
    <col min="2817" max="2843" width="3.125" style="324" customWidth="1"/>
    <col min="2844" max="2844" width="1.75" style="324" customWidth="1"/>
    <col min="2845" max="2845" width="9" style="324" customWidth="1"/>
    <col min="2846" max="2846" width="10.25" style="324" bestFit="1" customWidth="1"/>
    <col min="2847" max="2847" width="14.125" style="324" bestFit="1" customWidth="1"/>
    <col min="2848" max="3072" width="9" style="324" customWidth="1"/>
    <col min="3073" max="3099" width="3.125" style="324" customWidth="1"/>
    <col min="3100" max="3100" width="1.75" style="324" customWidth="1"/>
    <col min="3101" max="3101" width="9" style="324" customWidth="1"/>
    <col min="3102" max="3102" width="10.25" style="324" bestFit="1" customWidth="1"/>
    <col min="3103" max="3103" width="14.125" style="324" bestFit="1" customWidth="1"/>
    <col min="3104" max="3328" width="9" style="324" customWidth="1"/>
    <col min="3329" max="3355" width="3.125" style="324" customWidth="1"/>
    <col min="3356" max="3356" width="1.75" style="324" customWidth="1"/>
    <col min="3357" max="3357" width="9" style="324" customWidth="1"/>
    <col min="3358" max="3358" width="10.25" style="324" bestFit="1" customWidth="1"/>
    <col min="3359" max="3359" width="14.125" style="324" bestFit="1" customWidth="1"/>
    <col min="3360" max="3584" width="9" style="324" customWidth="1"/>
    <col min="3585" max="3611" width="3.125" style="324" customWidth="1"/>
    <col min="3612" max="3612" width="1.75" style="324" customWidth="1"/>
    <col min="3613" max="3613" width="9" style="324" customWidth="1"/>
    <col min="3614" max="3614" width="10.25" style="324" bestFit="1" customWidth="1"/>
    <col min="3615" max="3615" width="14.125" style="324" bestFit="1" customWidth="1"/>
    <col min="3616" max="3840" width="9" style="324" customWidth="1"/>
    <col min="3841" max="3867" width="3.125" style="324" customWidth="1"/>
    <col min="3868" max="3868" width="1.75" style="324" customWidth="1"/>
    <col min="3869" max="3869" width="9" style="324" customWidth="1"/>
    <col min="3870" max="3870" width="10.25" style="324" bestFit="1" customWidth="1"/>
    <col min="3871" max="3871" width="14.125" style="324" bestFit="1" customWidth="1"/>
    <col min="3872" max="4096" width="9" style="324" customWidth="1"/>
    <col min="4097" max="4123" width="3.125" style="324" customWidth="1"/>
    <col min="4124" max="4124" width="1.75" style="324" customWidth="1"/>
    <col min="4125" max="4125" width="9" style="324" customWidth="1"/>
    <col min="4126" max="4126" width="10.25" style="324" bestFit="1" customWidth="1"/>
    <col min="4127" max="4127" width="14.125" style="324" bestFit="1" customWidth="1"/>
    <col min="4128" max="4352" width="9" style="324" customWidth="1"/>
    <col min="4353" max="4379" width="3.125" style="324" customWidth="1"/>
    <col min="4380" max="4380" width="1.75" style="324" customWidth="1"/>
    <col min="4381" max="4381" width="9" style="324" customWidth="1"/>
    <col min="4382" max="4382" width="10.25" style="324" bestFit="1" customWidth="1"/>
    <col min="4383" max="4383" width="14.125" style="324" bestFit="1" customWidth="1"/>
    <col min="4384" max="4608" width="9" style="324" customWidth="1"/>
    <col min="4609" max="4635" width="3.125" style="324" customWidth="1"/>
    <col min="4636" max="4636" width="1.75" style="324" customWidth="1"/>
    <col min="4637" max="4637" width="9" style="324" customWidth="1"/>
    <col min="4638" max="4638" width="10.25" style="324" bestFit="1" customWidth="1"/>
    <col min="4639" max="4639" width="14.125" style="324" bestFit="1" customWidth="1"/>
    <col min="4640" max="4864" width="9" style="324" customWidth="1"/>
    <col min="4865" max="4891" width="3.125" style="324" customWidth="1"/>
    <col min="4892" max="4892" width="1.75" style="324" customWidth="1"/>
    <col min="4893" max="4893" width="9" style="324" customWidth="1"/>
    <col min="4894" max="4894" width="10.25" style="324" bestFit="1" customWidth="1"/>
    <col min="4895" max="4895" width="14.125" style="324" bestFit="1" customWidth="1"/>
    <col min="4896" max="5120" width="9" style="324" customWidth="1"/>
    <col min="5121" max="5147" width="3.125" style="324" customWidth="1"/>
    <col min="5148" max="5148" width="1.75" style="324" customWidth="1"/>
    <col min="5149" max="5149" width="9" style="324" customWidth="1"/>
    <col min="5150" max="5150" width="10.25" style="324" bestFit="1" customWidth="1"/>
    <col min="5151" max="5151" width="14.125" style="324" bestFit="1" customWidth="1"/>
    <col min="5152" max="5376" width="9" style="324" customWidth="1"/>
    <col min="5377" max="5403" width="3.125" style="324" customWidth="1"/>
    <col min="5404" max="5404" width="1.75" style="324" customWidth="1"/>
    <col min="5405" max="5405" width="9" style="324" customWidth="1"/>
    <col min="5406" max="5406" width="10.25" style="324" bestFit="1" customWidth="1"/>
    <col min="5407" max="5407" width="14.125" style="324" bestFit="1" customWidth="1"/>
    <col min="5408" max="5632" width="9" style="324" customWidth="1"/>
    <col min="5633" max="5659" width="3.125" style="324" customWidth="1"/>
    <col min="5660" max="5660" width="1.75" style="324" customWidth="1"/>
    <col min="5661" max="5661" width="9" style="324" customWidth="1"/>
    <col min="5662" max="5662" width="10.25" style="324" bestFit="1" customWidth="1"/>
    <col min="5663" max="5663" width="14.125" style="324" bestFit="1" customWidth="1"/>
    <col min="5664" max="5888" width="9" style="324" customWidth="1"/>
    <col min="5889" max="5915" width="3.125" style="324" customWidth="1"/>
    <col min="5916" max="5916" width="1.75" style="324" customWidth="1"/>
    <col min="5917" max="5917" width="9" style="324" customWidth="1"/>
    <col min="5918" max="5918" width="10.25" style="324" bestFit="1" customWidth="1"/>
    <col min="5919" max="5919" width="14.125" style="324" bestFit="1" customWidth="1"/>
    <col min="5920" max="6144" width="9" style="324" customWidth="1"/>
    <col min="6145" max="6171" width="3.125" style="324" customWidth="1"/>
    <col min="6172" max="6172" width="1.75" style="324" customWidth="1"/>
    <col min="6173" max="6173" width="9" style="324" customWidth="1"/>
    <col min="6174" max="6174" width="10.25" style="324" bestFit="1" customWidth="1"/>
    <col min="6175" max="6175" width="14.125" style="324" bestFit="1" customWidth="1"/>
    <col min="6176" max="6400" width="9" style="324" customWidth="1"/>
    <col min="6401" max="6427" width="3.125" style="324" customWidth="1"/>
    <col min="6428" max="6428" width="1.75" style="324" customWidth="1"/>
    <col min="6429" max="6429" width="9" style="324" customWidth="1"/>
    <col min="6430" max="6430" width="10.25" style="324" bestFit="1" customWidth="1"/>
    <col min="6431" max="6431" width="14.125" style="324" bestFit="1" customWidth="1"/>
    <col min="6432" max="6656" width="9" style="324" customWidth="1"/>
    <col min="6657" max="6683" width="3.125" style="324" customWidth="1"/>
    <col min="6684" max="6684" width="1.75" style="324" customWidth="1"/>
    <col min="6685" max="6685" width="9" style="324" customWidth="1"/>
    <col min="6686" max="6686" width="10.25" style="324" bestFit="1" customWidth="1"/>
    <col min="6687" max="6687" width="14.125" style="324" bestFit="1" customWidth="1"/>
    <col min="6688" max="6912" width="9" style="324" customWidth="1"/>
    <col min="6913" max="6939" width="3.125" style="324" customWidth="1"/>
    <col min="6940" max="6940" width="1.75" style="324" customWidth="1"/>
    <col min="6941" max="6941" width="9" style="324" customWidth="1"/>
    <col min="6942" max="6942" width="10.25" style="324" bestFit="1" customWidth="1"/>
    <col min="6943" max="6943" width="14.125" style="324" bestFit="1" customWidth="1"/>
    <col min="6944" max="7168" width="9" style="324" customWidth="1"/>
    <col min="7169" max="7195" width="3.125" style="324" customWidth="1"/>
    <col min="7196" max="7196" width="1.75" style="324" customWidth="1"/>
    <col min="7197" max="7197" width="9" style="324" customWidth="1"/>
    <col min="7198" max="7198" width="10.25" style="324" bestFit="1" customWidth="1"/>
    <col min="7199" max="7199" width="14.125" style="324" bestFit="1" customWidth="1"/>
    <col min="7200" max="7424" width="9" style="324" customWidth="1"/>
    <col min="7425" max="7451" width="3.125" style="324" customWidth="1"/>
    <col min="7452" max="7452" width="1.75" style="324" customWidth="1"/>
    <col min="7453" max="7453" width="9" style="324" customWidth="1"/>
    <col min="7454" max="7454" width="10.25" style="324" bestFit="1" customWidth="1"/>
    <col min="7455" max="7455" width="14.125" style="324" bestFit="1" customWidth="1"/>
    <col min="7456" max="7680" width="9" style="324" customWidth="1"/>
    <col min="7681" max="7707" width="3.125" style="324" customWidth="1"/>
    <col min="7708" max="7708" width="1.75" style="324" customWidth="1"/>
    <col min="7709" max="7709" width="9" style="324" customWidth="1"/>
    <col min="7710" max="7710" width="10.25" style="324" bestFit="1" customWidth="1"/>
    <col min="7711" max="7711" width="14.125" style="324" bestFit="1" customWidth="1"/>
    <col min="7712" max="7936" width="9" style="324" customWidth="1"/>
    <col min="7937" max="7963" width="3.125" style="324" customWidth="1"/>
    <col min="7964" max="7964" width="1.75" style="324" customWidth="1"/>
    <col min="7965" max="7965" width="9" style="324" customWidth="1"/>
    <col min="7966" max="7966" width="10.25" style="324" bestFit="1" customWidth="1"/>
    <col min="7967" max="7967" width="14.125" style="324" bestFit="1" customWidth="1"/>
    <col min="7968" max="8192" width="9" style="324" customWidth="1"/>
    <col min="8193" max="8219" width="3.125" style="324" customWidth="1"/>
    <col min="8220" max="8220" width="1.75" style="324" customWidth="1"/>
    <col min="8221" max="8221" width="9" style="324" customWidth="1"/>
    <col min="8222" max="8222" width="10.25" style="324" bestFit="1" customWidth="1"/>
    <col min="8223" max="8223" width="14.125" style="324" bestFit="1" customWidth="1"/>
    <col min="8224" max="8448" width="9" style="324" customWidth="1"/>
    <col min="8449" max="8475" width="3.125" style="324" customWidth="1"/>
    <col min="8476" max="8476" width="1.75" style="324" customWidth="1"/>
    <col min="8477" max="8477" width="9" style="324" customWidth="1"/>
    <col min="8478" max="8478" width="10.25" style="324" bestFit="1" customWidth="1"/>
    <col min="8479" max="8479" width="14.125" style="324" bestFit="1" customWidth="1"/>
    <col min="8480" max="8704" width="9" style="324" customWidth="1"/>
    <col min="8705" max="8731" width="3.125" style="324" customWidth="1"/>
    <col min="8732" max="8732" width="1.75" style="324" customWidth="1"/>
    <col min="8733" max="8733" width="9" style="324" customWidth="1"/>
    <col min="8734" max="8734" width="10.25" style="324" bestFit="1" customWidth="1"/>
    <col min="8735" max="8735" width="14.125" style="324" bestFit="1" customWidth="1"/>
    <col min="8736" max="8960" width="9" style="324" customWidth="1"/>
    <col min="8961" max="8987" width="3.125" style="324" customWidth="1"/>
    <col min="8988" max="8988" width="1.75" style="324" customWidth="1"/>
    <col min="8989" max="8989" width="9" style="324" customWidth="1"/>
    <col min="8990" max="8990" width="10.25" style="324" bestFit="1" customWidth="1"/>
    <col min="8991" max="8991" width="14.125" style="324" bestFit="1" customWidth="1"/>
    <col min="8992" max="9216" width="9" style="324" customWidth="1"/>
    <col min="9217" max="9243" width="3.125" style="324" customWidth="1"/>
    <col min="9244" max="9244" width="1.75" style="324" customWidth="1"/>
    <col min="9245" max="9245" width="9" style="324" customWidth="1"/>
    <col min="9246" max="9246" width="10.25" style="324" bestFit="1" customWidth="1"/>
    <col min="9247" max="9247" width="14.125" style="324" bestFit="1" customWidth="1"/>
    <col min="9248" max="9472" width="9" style="324" customWidth="1"/>
    <col min="9473" max="9499" width="3.125" style="324" customWidth="1"/>
    <col min="9500" max="9500" width="1.75" style="324" customWidth="1"/>
    <col min="9501" max="9501" width="9" style="324" customWidth="1"/>
    <col min="9502" max="9502" width="10.25" style="324" bestFit="1" customWidth="1"/>
    <col min="9503" max="9503" width="14.125" style="324" bestFit="1" customWidth="1"/>
    <col min="9504" max="9728" width="9" style="324" customWidth="1"/>
    <col min="9729" max="9755" width="3.125" style="324" customWidth="1"/>
    <col min="9756" max="9756" width="1.75" style="324" customWidth="1"/>
    <col min="9757" max="9757" width="9" style="324" customWidth="1"/>
    <col min="9758" max="9758" width="10.25" style="324" bestFit="1" customWidth="1"/>
    <col min="9759" max="9759" width="14.125" style="324" bestFit="1" customWidth="1"/>
    <col min="9760" max="9984" width="9" style="324" customWidth="1"/>
    <col min="9985" max="10011" width="3.125" style="324" customWidth="1"/>
    <col min="10012" max="10012" width="1.75" style="324" customWidth="1"/>
    <col min="10013" max="10013" width="9" style="324" customWidth="1"/>
    <col min="10014" max="10014" width="10.25" style="324" bestFit="1" customWidth="1"/>
    <col min="10015" max="10015" width="14.125" style="324" bestFit="1" customWidth="1"/>
    <col min="10016" max="10240" width="9" style="324" customWidth="1"/>
    <col min="10241" max="10267" width="3.125" style="324" customWidth="1"/>
    <col min="10268" max="10268" width="1.75" style="324" customWidth="1"/>
    <col min="10269" max="10269" width="9" style="324" customWidth="1"/>
    <col min="10270" max="10270" width="10.25" style="324" bestFit="1" customWidth="1"/>
    <col min="10271" max="10271" width="14.125" style="324" bestFit="1" customWidth="1"/>
    <col min="10272" max="10496" width="9" style="324" customWidth="1"/>
    <col min="10497" max="10523" width="3.125" style="324" customWidth="1"/>
    <col min="10524" max="10524" width="1.75" style="324" customWidth="1"/>
    <col min="10525" max="10525" width="9" style="324" customWidth="1"/>
    <col min="10526" max="10526" width="10.25" style="324" bestFit="1" customWidth="1"/>
    <col min="10527" max="10527" width="14.125" style="324" bestFit="1" customWidth="1"/>
    <col min="10528" max="10752" width="9" style="324" customWidth="1"/>
    <col min="10753" max="10779" width="3.125" style="324" customWidth="1"/>
    <col min="10780" max="10780" width="1.75" style="324" customWidth="1"/>
    <col min="10781" max="10781" width="9" style="324" customWidth="1"/>
    <col min="10782" max="10782" width="10.25" style="324" bestFit="1" customWidth="1"/>
    <col min="10783" max="10783" width="14.125" style="324" bestFit="1" customWidth="1"/>
    <col min="10784" max="11008" width="9" style="324" customWidth="1"/>
    <col min="11009" max="11035" width="3.125" style="324" customWidth="1"/>
    <col min="11036" max="11036" width="1.75" style="324" customWidth="1"/>
    <col min="11037" max="11037" width="9" style="324" customWidth="1"/>
    <col min="11038" max="11038" width="10.25" style="324" bestFit="1" customWidth="1"/>
    <col min="11039" max="11039" width="14.125" style="324" bestFit="1" customWidth="1"/>
    <col min="11040" max="11264" width="9" style="324" customWidth="1"/>
    <col min="11265" max="11291" width="3.125" style="324" customWidth="1"/>
    <col min="11292" max="11292" width="1.75" style="324" customWidth="1"/>
    <col min="11293" max="11293" width="9" style="324" customWidth="1"/>
    <col min="11294" max="11294" width="10.25" style="324" bestFit="1" customWidth="1"/>
    <col min="11295" max="11295" width="14.125" style="324" bestFit="1" customWidth="1"/>
    <col min="11296" max="11520" width="9" style="324" customWidth="1"/>
    <col min="11521" max="11547" width="3.125" style="324" customWidth="1"/>
    <col min="11548" max="11548" width="1.75" style="324" customWidth="1"/>
    <col min="11549" max="11549" width="9" style="324" customWidth="1"/>
    <col min="11550" max="11550" width="10.25" style="324" bestFit="1" customWidth="1"/>
    <col min="11551" max="11551" width="14.125" style="324" bestFit="1" customWidth="1"/>
    <col min="11552" max="11776" width="9" style="324" customWidth="1"/>
    <col min="11777" max="11803" width="3.125" style="324" customWidth="1"/>
    <col min="11804" max="11804" width="1.75" style="324" customWidth="1"/>
    <col min="11805" max="11805" width="9" style="324" customWidth="1"/>
    <col min="11806" max="11806" width="10.25" style="324" bestFit="1" customWidth="1"/>
    <col min="11807" max="11807" width="14.125" style="324" bestFit="1" customWidth="1"/>
    <col min="11808" max="12032" width="9" style="324" customWidth="1"/>
    <col min="12033" max="12059" width="3.125" style="324" customWidth="1"/>
    <col min="12060" max="12060" width="1.75" style="324" customWidth="1"/>
    <col min="12061" max="12061" width="9" style="324" customWidth="1"/>
    <col min="12062" max="12062" width="10.25" style="324" bestFit="1" customWidth="1"/>
    <col min="12063" max="12063" width="14.125" style="324" bestFit="1" customWidth="1"/>
    <col min="12064" max="12288" width="9" style="324" customWidth="1"/>
    <col min="12289" max="12315" width="3.125" style="324" customWidth="1"/>
    <col min="12316" max="12316" width="1.75" style="324" customWidth="1"/>
    <col min="12317" max="12317" width="9" style="324" customWidth="1"/>
    <col min="12318" max="12318" width="10.25" style="324" bestFit="1" customWidth="1"/>
    <col min="12319" max="12319" width="14.125" style="324" bestFit="1" customWidth="1"/>
    <col min="12320" max="12544" width="9" style="324" customWidth="1"/>
    <col min="12545" max="12571" width="3.125" style="324" customWidth="1"/>
    <col min="12572" max="12572" width="1.75" style="324" customWidth="1"/>
    <col min="12573" max="12573" width="9" style="324" customWidth="1"/>
    <col min="12574" max="12574" width="10.25" style="324" bestFit="1" customWidth="1"/>
    <col min="12575" max="12575" width="14.125" style="324" bestFit="1" customWidth="1"/>
    <col min="12576" max="12800" width="9" style="324" customWidth="1"/>
    <col min="12801" max="12827" width="3.125" style="324" customWidth="1"/>
    <col min="12828" max="12828" width="1.75" style="324" customWidth="1"/>
    <col min="12829" max="12829" width="9" style="324" customWidth="1"/>
    <col min="12830" max="12830" width="10.25" style="324" bestFit="1" customWidth="1"/>
    <col min="12831" max="12831" width="14.125" style="324" bestFit="1" customWidth="1"/>
    <col min="12832" max="13056" width="9" style="324" customWidth="1"/>
    <col min="13057" max="13083" width="3.125" style="324" customWidth="1"/>
    <col min="13084" max="13084" width="1.75" style="324" customWidth="1"/>
    <col min="13085" max="13085" width="9" style="324" customWidth="1"/>
    <col min="13086" max="13086" width="10.25" style="324" bestFit="1" customWidth="1"/>
    <col min="13087" max="13087" width="14.125" style="324" bestFit="1" customWidth="1"/>
    <col min="13088" max="13312" width="9" style="324" customWidth="1"/>
    <col min="13313" max="13339" width="3.125" style="324" customWidth="1"/>
    <col min="13340" max="13340" width="1.75" style="324" customWidth="1"/>
    <col min="13341" max="13341" width="9" style="324" customWidth="1"/>
    <col min="13342" max="13342" width="10.25" style="324" bestFit="1" customWidth="1"/>
    <col min="13343" max="13343" width="14.125" style="324" bestFit="1" customWidth="1"/>
    <col min="13344" max="13568" width="9" style="324" customWidth="1"/>
    <col min="13569" max="13595" width="3.125" style="324" customWidth="1"/>
    <col min="13596" max="13596" width="1.75" style="324" customWidth="1"/>
    <col min="13597" max="13597" width="9" style="324" customWidth="1"/>
    <col min="13598" max="13598" width="10.25" style="324" bestFit="1" customWidth="1"/>
    <col min="13599" max="13599" width="14.125" style="324" bestFit="1" customWidth="1"/>
    <col min="13600" max="13824" width="9" style="324" customWidth="1"/>
    <col min="13825" max="13851" width="3.125" style="324" customWidth="1"/>
    <col min="13852" max="13852" width="1.75" style="324" customWidth="1"/>
    <col min="13853" max="13853" width="9" style="324" customWidth="1"/>
    <col min="13854" max="13854" width="10.25" style="324" bestFit="1" customWidth="1"/>
    <col min="13855" max="13855" width="14.125" style="324" bestFit="1" customWidth="1"/>
    <col min="13856" max="14080" width="9" style="324" customWidth="1"/>
    <col min="14081" max="14107" width="3.125" style="324" customWidth="1"/>
    <col min="14108" max="14108" width="1.75" style="324" customWidth="1"/>
    <col min="14109" max="14109" width="9" style="324" customWidth="1"/>
    <col min="14110" max="14110" width="10.25" style="324" bestFit="1" customWidth="1"/>
    <col min="14111" max="14111" width="14.125" style="324" bestFit="1" customWidth="1"/>
    <col min="14112" max="14336" width="9" style="324" customWidth="1"/>
    <col min="14337" max="14363" width="3.125" style="324" customWidth="1"/>
    <col min="14364" max="14364" width="1.75" style="324" customWidth="1"/>
    <col min="14365" max="14365" width="9" style="324" customWidth="1"/>
    <col min="14366" max="14366" width="10.25" style="324" bestFit="1" customWidth="1"/>
    <col min="14367" max="14367" width="14.125" style="324" bestFit="1" customWidth="1"/>
    <col min="14368" max="14592" width="9" style="324" customWidth="1"/>
    <col min="14593" max="14619" width="3.125" style="324" customWidth="1"/>
    <col min="14620" max="14620" width="1.75" style="324" customWidth="1"/>
    <col min="14621" max="14621" width="9" style="324" customWidth="1"/>
    <col min="14622" max="14622" width="10.25" style="324" bestFit="1" customWidth="1"/>
    <col min="14623" max="14623" width="14.125" style="324" bestFit="1" customWidth="1"/>
    <col min="14624" max="14848" width="9" style="324" customWidth="1"/>
    <col min="14849" max="14875" width="3.125" style="324" customWidth="1"/>
    <col min="14876" max="14876" width="1.75" style="324" customWidth="1"/>
    <col min="14877" max="14877" width="9" style="324" customWidth="1"/>
    <col min="14878" max="14878" width="10.25" style="324" bestFit="1" customWidth="1"/>
    <col min="14879" max="14879" width="14.125" style="324" bestFit="1" customWidth="1"/>
    <col min="14880" max="15104" width="9" style="324" customWidth="1"/>
    <col min="15105" max="15131" width="3.125" style="324" customWidth="1"/>
    <col min="15132" max="15132" width="1.75" style="324" customWidth="1"/>
    <col min="15133" max="15133" width="9" style="324" customWidth="1"/>
    <col min="15134" max="15134" width="10.25" style="324" bestFit="1" customWidth="1"/>
    <col min="15135" max="15135" width="14.125" style="324" bestFit="1" customWidth="1"/>
    <col min="15136" max="15360" width="9" style="324" customWidth="1"/>
    <col min="15361" max="15387" width="3.125" style="324" customWidth="1"/>
    <col min="15388" max="15388" width="1.75" style="324" customWidth="1"/>
    <col min="15389" max="15389" width="9" style="324" customWidth="1"/>
    <col min="15390" max="15390" width="10.25" style="324" bestFit="1" customWidth="1"/>
    <col min="15391" max="15391" width="14.125" style="324" bestFit="1" customWidth="1"/>
    <col min="15392" max="15616" width="9" style="324" customWidth="1"/>
    <col min="15617" max="15643" width="3.125" style="324" customWidth="1"/>
    <col min="15644" max="15644" width="1.75" style="324" customWidth="1"/>
    <col min="15645" max="15645" width="9" style="324" customWidth="1"/>
    <col min="15646" max="15646" width="10.25" style="324" bestFit="1" customWidth="1"/>
    <col min="15647" max="15647" width="14.125" style="324" bestFit="1" customWidth="1"/>
    <col min="15648" max="15872" width="9" style="324" customWidth="1"/>
    <col min="15873" max="15899" width="3.125" style="324" customWidth="1"/>
    <col min="15900" max="15900" width="1.75" style="324" customWidth="1"/>
    <col min="15901" max="15901" width="9" style="324" customWidth="1"/>
    <col min="15902" max="15902" width="10.25" style="324" bestFit="1" customWidth="1"/>
    <col min="15903" max="15903" width="14.125" style="324" bestFit="1" customWidth="1"/>
    <col min="15904" max="16128" width="9" style="324" customWidth="1"/>
    <col min="16129" max="16155" width="3.125" style="324" customWidth="1"/>
    <col min="16156" max="16156" width="1.75" style="324" customWidth="1"/>
    <col min="16157" max="16157" width="9" style="324" customWidth="1"/>
    <col min="16158" max="16158" width="10.25" style="324" bestFit="1" customWidth="1"/>
    <col min="16159" max="16159" width="14.125" style="324" bestFit="1" customWidth="1"/>
    <col min="16160" max="16384" width="9" style="324" customWidth="1"/>
  </cols>
  <sheetData>
    <row r="1" spans="1:27" ht="6" customHeight="1"/>
    <row r="2" spans="1:27">
      <c r="A2" s="324" t="s">
        <v>2818</v>
      </c>
    </row>
    <row r="4" spans="1:27">
      <c r="A4" s="736" t="s">
        <v>2819</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row>
    <row r="5" spans="1:27" ht="30.75" customHeight="1">
      <c r="A5" s="737" t="s">
        <v>2820</v>
      </c>
      <c r="B5" s="737"/>
      <c r="C5" s="737"/>
      <c r="D5" s="737"/>
      <c r="E5" s="737"/>
      <c r="F5" s="737"/>
      <c r="G5" s="737"/>
      <c r="H5" s="737"/>
      <c r="I5" s="737"/>
      <c r="J5" s="737"/>
      <c r="K5" s="737"/>
      <c r="L5" s="737"/>
      <c r="M5" s="737"/>
      <c r="N5" s="737"/>
      <c r="O5" s="737"/>
      <c r="P5" s="737"/>
      <c r="Q5" s="737"/>
      <c r="R5" s="737"/>
      <c r="S5" s="738"/>
      <c r="T5" s="738"/>
      <c r="U5" s="738"/>
      <c r="V5" s="738"/>
      <c r="W5" s="738"/>
      <c r="X5" s="738"/>
      <c r="Y5" s="738"/>
      <c r="Z5" s="738"/>
      <c r="AA5" s="738"/>
    </row>
    <row r="6" spans="1:27">
      <c r="A6" s="736" t="s">
        <v>2821</v>
      </c>
      <c r="B6" s="736"/>
      <c r="C6" s="736"/>
      <c r="D6" s="736"/>
      <c r="E6" s="736"/>
      <c r="F6" s="736"/>
      <c r="G6" s="736"/>
      <c r="H6" s="736"/>
      <c r="I6" s="736"/>
      <c r="J6" s="736"/>
      <c r="K6" s="736"/>
      <c r="L6" s="736"/>
      <c r="M6" s="736"/>
      <c r="N6" s="736"/>
      <c r="O6" s="736"/>
      <c r="P6" s="736"/>
      <c r="Q6" s="736"/>
      <c r="R6" s="736"/>
      <c r="S6" s="739"/>
      <c r="T6" s="739"/>
      <c r="U6" s="739"/>
      <c r="V6" s="739"/>
      <c r="W6" s="739"/>
      <c r="X6" s="739"/>
      <c r="Y6" s="739"/>
      <c r="Z6" s="739"/>
      <c r="AA6" s="739"/>
    </row>
    <row r="8" spans="1:27" ht="18.75" customHeight="1">
      <c r="S8" s="723">
        <f ca="1">IF(wskakunin_SHINSEI_DATE="",TEXT(TODAY(),"ggg"),wskakunin_SHINSEI_DATE)</f>
        <v>45391</v>
      </c>
      <c r="T8" s="723"/>
      <c r="U8" s="289">
        <f>cst_wskakunin_SHINSEI_DATE</f>
        <v>45391</v>
      </c>
      <c r="V8" s="324" t="s">
        <v>2822</v>
      </c>
      <c r="W8" s="290">
        <f>cst_wskakunin_SHINSEI_DATE</f>
        <v>45391</v>
      </c>
      <c r="X8" s="324" t="s">
        <v>2823</v>
      </c>
      <c r="Y8" s="294">
        <f>cst_wskakunin_SHINSEI_DATE</f>
        <v>45391</v>
      </c>
      <c r="Z8" s="324" t="s">
        <v>2824</v>
      </c>
    </row>
    <row r="9" spans="1:27" ht="15.75" customHeight="1"/>
    <row r="10" spans="1:27" ht="18" customHeight="1">
      <c r="A10" s="283"/>
      <c r="B10" s="740" t="str">
        <f>cst_wskakunin_BUILD_KEN__ken</f>
        <v>大阪府</v>
      </c>
      <c r="C10" s="741"/>
      <c r="D10" s="741"/>
      <c r="E10" s="741"/>
      <c r="F10" s="283" t="s">
        <v>2825</v>
      </c>
      <c r="G10" s="283"/>
      <c r="H10" s="283"/>
      <c r="I10" s="283"/>
      <c r="J10" s="283"/>
      <c r="K10" s="283"/>
      <c r="L10" s="283"/>
      <c r="M10" s="283"/>
      <c r="N10" s="283"/>
      <c r="O10" s="283"/>
      <c r="P10" s="283"/>
      <c r="Q10" s="283"/>
      <c r="R10" s="283"/>
      <c r="S10" s="283"/>
      <c r="T10" s="283"/>
      <c r="U10" s="283"/>
      <c r="V10" s="283"/>
      <c r="W10" s="283"/>
      <c r="X10" s="283"/>
      <c r="Y10" s="283"/>
      <c r="Z10" s="283"/>
      <c r="AA10" s="283"/>
    </row>
    <row r="11" spans="1:27" ht="18" customHeight="1">
      <c r="A11" s="324" t="s">
        <v>181</v>
      </c>
    </row>
    <row r="12" spans="1:27" ht="18" customHeight="1">
      <c r="B12" s="739" t="s">
        <v>194</v>
      </c>
      <c r="C12" s="739"/>
      <c r="D12" s="739"/>
      <c r="E12" s="742" t="str">
        <f>cst_wskakunin_owner1__space3</f>
        <v>猫山　花子</v>
      </c>
      <c r="F12" s="742"/>
      <c r="G12" s="742"/>
      <c r="H12" s="742"/>
      <c r="I12" s="742"/>
      <c r="J12" s="742"/>
      <c r="K12" s="742"/>
      <c r="L12" s="742"/>
      <c r="M12" s="742"/>
      <c r="N12" s="742"/>
      <c r="O12" s="742"/>
      <c r="P12" s="742"/>
      <c r="Q12" s="742"/>
      <c r="R12" s="742"/>
      <c r="S12" s="742"/>
      <c r="T12" s="742"/>
      <c r="U12" s="742"/>
      <c r="V12" s="742"/>
      <c r="W12" s="742"/>
      <c r="X12" s="742"/>
      <c r="Y12" s="742"/>
      <c r="Z12" s="739"/>
    </row>
    <row r="13" spans="1:27" ht="18" customHeight="1">
      <c r="B13" s="739"/>
      <c r="C13" s="739"/>
      <c r="D13" s="739"/>
      <c r="E13" s="742"/>
      <c r="F13" s="742"/>
      <c r="G13" s="742"/>
      <c r="H13" s="742"/>
      <c r="I13" s="742"/>
      <c r="J13" s="742"/>
      <c r="K13" s="742"/>
      <c r="L13" s="742"/>
      <c r="M13" s="742"/>
      <c r="N13" s="742"/>
      <c r="O13" s="742"/>
      <c r="P13" s="742"/>
      <c r="Q13" s="742"/>
      <c r="R13" s="742"/>
      <c r="S13" s="742"/>
      <c r="T13" s="742"/>
      <c r="U13" s="742"/>
      <c r="V13" s="742"/>
      <c r="W13" s="742"/>
      <c r="X13" s="742"/>
      <c r="Y13" s="742"/>
      <c r="Z13" s="739"/>
    </row>
    <row r="14" spans="1:27" ht="18" customHeight="1">
      <c r="B14" s="324" t="s">
        <v>205</v>
      </c>
      <c r="E14" s="727" t="str">
        <f>cst_wskakunin_owner1_ZIP</f>
        <v>567-0009</v>
      </c>
      <c r="F14" s="729"/>
      <c r="G14" s="729"/>
      <c r="H14" s="729"/>
      <c r="I14" s="729"/>
      <c r="J14" s="729"/>
    </row>
    <row r="15" spans="1:27" ht="18" customHeight="1">
      <c r="B15" s="324" t="s">
        <v>210</v>
      </c>
      <c r="E15" s="727" t="str">
        <f>cst_wskakunin_owner1__address</f>
        <v>大阪府茨木市山手台2-2-2</v>
      </c>
      <c r="F15" s="743"/>
      <c r="G15" s="743"/>
      <c r="H15" s="743"/>
      <c r="I15" s="743"/>
      <c r="J15" s="743"/>
      <c r="K15" s="743"/>
      <c r="L15" s="743"/>
      <c r="M15" s="743"/>
      <c r="N15" s="743"/>
      <c r="O15" s="743"/>
      <c r="P15" s="743"/>
      <c r="Q15" s="743"/>
      <c r="R15" s="743"/>
      <c r="S15" s="743"/>
      <c r="T15" s="743"/>
      <c r="U15" s="743"/>
      <c r="V15" s="743"/>
      <c r="W15" s="743"/>
      <c r="X15" s="728"/>
      <c r="Y15" s="728"/>
      <c r="Z15" s="728"/>
      <c r="AA15" s="729"/>
    </row>
    <row r="16" spans="1:27" ht="18" customHeight="1">
      <c r="A16" s="283"/>
      <c r="B16" s="283" t="s">
        <v>214</v>
      </c>
      <c r="C16" s="283"/>
      <c r="D16" s="283"/>
      <c r="E16" s="730" t="str">
        <f>cst_wskakunin_owner1_TEL</f>
        <v>なし</v>
      </c>
      <c r="F16" s="731"/>
      <c r="G16" s="731"/>
      <c r="H16" s="731"/>
      <c r="I16" s="731"/>
      <c r="J16" s="731"/>
      <c r="K16" s="731"/>
      <c r="L16" s="731"/>
      <c r="M16" s="283"/>
      <c r="N16" s="283"/>
      <c r="O16" s="283"/>
      <c r="P16" s="283"/>
      <c r="Q16" s="283"/>
      <c r="R16" s="283"/>
      <c r="S16" s="283"/>
      <c r="T16" s="283"/>
      <c r="U16" s="283"/>
      <c r="V16" s="283"/>
      <c r="W16" s="283"/>
      <c r="X16" s="283"/>
      <c r="Y16" s="283"/>
      <c r="Z16" s="283"/>
      <c r="AA16" s="283"/>
    </row>
    <row r="17" spans="1:27" ht="18" customHeight="1">
      <c r="A17" s="324" t="s">
        <v>2826</v>
      </c>
    </row>
    <row r="18" spans="1:27" ht="18" customHeight="1">
      <c r="B18" s="324" t="s">
        <v>194</v>
      </c>
      <c r="E18" s="727" t="str">
        <f>cst_wskakunin_sekou1_NAME</f>
        <v>代表取締役　波夛野　賢</v>
      </c>
      <c r="F18" s="729"/>
      <c r="G18" s="729"/>
      <c r="H18" s="729"/>
      <c r="I18" s="729"/>
      <c r="J18" s="729"/>
      <c r="K18" s="729"/>
      <c r="L18" s="729"/>
      <c r="M18" s="729"/>
      <c r="N18" s="729"/>
      <c r="O18" s="729"/>
      <c r="P18" s="729"/>
      <c r="Q18" s="729"/>
      <c r="R18" s="729"/>
      <c r="S18" s="729"/>
      <c r="T18" s="729"/>
      <c r="U18" s="729"/>
      <c r="V18" s="729"/>
      <c r="W18" s="729"/>
      <c r="X18" s="729"/>
      <c r="Y18" s="729"/>
      <c r="Z18" s="729"/>
      <c r="AA18" s="729"/>
    </row>
    <row r="19" spans="1:27" ht="18" customHeight="1">
      <c r="B19" s="324" t="s">
        <v>2827</v>
      </c>
    </row>
    <row r="20" spans="1:27" ht="18" customHeight="1">
      <c r="E20" s="727" t="str">
        <f>cst_wskakunin_sekou1_JIMU_NAME</f>
        <v>四辻木材興行株式会社</v>
      </c>
      <c r="F20" s="729"/>
      <c r="G20" s="729"/>
      <c r="H20" s="729"/>
      <c r="I20" s="729"/>
      <c r="J20" s="729"/>
      <c r="K20" s="729"/>
      <c r="L20" s="729"/>
      <c r="M20" s="729"/>
      <c r="N20" s="729"/>
      <c r="O20" s="729"/>
      <c r="P20" s="729"/>
      <c r="Q20" s="729"/>
      <c r="R20" s="729"/>
      <c r="S20" s="729"/>
      <c r="T20" s="729"/>
      <c r="U20" s="729"/>
      <c r="V20" s="729"/>
      <c r="W20" s="729"/>
      <c r="X20" s="729"/>
      <c r="Y20" s="729"/>
      <c r="Z20" s="729"/>
      <c r="AA20" s="729"/>
    </row>
    <row r="21" spans="1:27" ht="18" customHeight="1">
      <c r="B21" s="324" t="s">
        <v>205</v>
      </c>
      <c r="E21" s="727" t="str">
        <f>cst_wskakunin_sekou1_ZIP</f>
        <v>617-0006</v>
      </c>
      <c r="F21" s="729"/>
      <c r="G21" s="729"/>
      <c r="H21" s="729"/>
      <c r="I21" s="729"/>
      <c r="J21" s="729"/>
    </row>
    <row r="22" spans="1:27" ht="18" customHeight="1">
      <c r="B22" s="324" t="s">
        <v>438</v>
      </c>
      <c r="E22" s="727" t="str">
        <f>cst_wskakunin_sekou1__address</f>
        <v>京都府向日市上植野町落掘17-1</v>
      </c>
      <c r="F22" s="728"/>
      <c r="G22" s="728"/>
      <c r="H22" s="728"/>
      <c r="I22" s="728"/>
      <c r="J22" s="728"/>
      <c r="K22" s="728"/>
      <c r="L22" s="728"/>
      <c r="M22" s="728"/>
      <c r="N22" s="728"/>
      <c r="O22" s="728"/>
      <c r="P22" s="728"/>
      <c r="Q22" s="728"/>
      <c r="R22" s="728"/>
      <c r="S22" s="728"/>
      <c r="T22" s="728"/>
      <c r="U22" s="728"/>
      <c r="V22" s="728"/>
      <c r="W22" s="728"/>
      <c r="X22" s="728"/>
      <c r="Y22" s="728"/>
      <c r="Z22" s="728"/>
      <c r="AA22" s="729"/>
    </row>
    <row r="23" spans="1:27" ht="18" customHeight="1">
      <c r="A23" s="283"/>
      <c r="B23" s="283" t="s">
        <v>214</v>
      </c>
      <c r="C23" s="283"/>
      <c r="D23" s="283"/>
      <c r="E23" s="730" t="str">
        <f>cst_wskakunin_sekou1_TEL</f>
        <v>075-931-1191</v>
      </c>
      <c r="F23" s="731"/>
      <c r="G23" s="731"/>
      <c r="H23" s="731"/>
      <c r="I23" s="731"/>
      <c r="J23" s="731"/>
      <c r="K23" s="731"/>
      <c r="L23" s="731"/>
      <c r="M23" s="283"/>
      <c r="N23" s="283"/>
      <c r="O23" s="283"/>
      <c r="P23" s="283"/>
      <c r="Q23" s="283"/>
      <c r="R23" s="283"/>
      <c r="S23" s="283"/>
      <c r="T23" s="283"/>
      <c r="U23" s="283"/>
      <c r="V23" s="283"/>
      <c r="W23" s="283"/>
      <c r="X23" s="283"/>
      <c r="Y23" s="283"/>
      <c r="Z23" s="283"/>
      <c r="AA23" s="283"/>
    </row>
    <row r="24" spans="1:27" ht="18" customHeight="1">
      <c r="A24" s="324" t="s">
        <v>2828</v>
      </c>
    </row>
    <row r="25" spans="1:27" ht="18" customHeight="1">
      <c r="B25" s="324" t="s">
        <v>194</v>
      </c>
      <c r="E25" s="727" t="str">
        <f>cst_wskakunin_kanri1_NAME</f>
        <v>現場　猫</v>
      </c>
      <c r="F25" s="729"/>
      <c r="G25" s="729"/>
      <c r="H25" s="729"/>
      <c r="I25" s="729"/>
      <c r="J25" s="729"/>
      <c r="K25" s="729"/>
      <c r="L25" s="729"/>
      <c r="M25" s="729"/>
      <c r="N25" s="729"/>
      <c r="O25" s="729"/>
      <c r="P25" s="729"/>
      <c r="Q25" s="729"/>
      <c r="R25" s="729"/>
      <c r="S25" s="729"/>
      <c r="T25" s="729"/>
      <c r="U25" s="729"/>
      <c r="V25" s="729"/>
      <c r="W25" s="729"/>
      <c r="X25" s="729"/>
      <c r="Y25" s="729"/>
      <c r="Z25" s="729"/>
      <c r="AA25" s="729"/>
    </row>
    <row r="26" spans="1:27" ht="18" customHeight="1">
      <c r="B26" s="324" t="s">
        <v>2827</v>
      </c>
    </row>
    <row r="27" spans="1:27" ht="18" customHeight="1">
      <c r="E27" s="727" t="str">
        <f>cst_wskakunin_kanri1_JIMU_NAME</f>
        <v>猫建築事務所</v>
      </c>
      <c r="F27" s="729"/>
      <c r="G27" s="729"/>
      <c r="H27" s="729"/>
      <c r="I27" s="729"/>
      <c r="J27" s="729"/>
      <c r="K27" s="729"/>
      <c r="L27" s="729"/>
      <c r="M27" s="729"/>
      <c r="N27" s="729"/>
      <c r="O27" s="729"/>
      <c r="P27" s="729"/>
      <c r="Q27" s="729"/>
      <c r="R27" s="729"/>
      <c r="S27" s="729"/>
      <c r="T27" s="729"/>
      <c r="U27" s="729"/>
      <c r="V27" s="729"/>
      <c r="W27" s="729"/>
      <c r="X27" s="729"/>
      <c r="Y27" s="729"/>
      <c r="Z27" s="729"/>
      <c r="AA27" s="729"/>
    </row>
    <row r="28" spans="1:27" ht="18" customHeight="1">
      <c r="B28" s="324" t="s">
        <v>205</v>
      </c>
      <c r="E28" s="727" t="str">
        <f>cst_wskakunin_kanri1_ZIP</f>
        <v>604-0001</v>
      </c>
      <c r="F28" s="729"/>
      <c r="G28" s="729"/>
      <c r="H28" s="729"/>
      <c r="I28" s="729"/>
      <c r="J28" s="729"/>
    </row>
    <row r="29" spans="1:27" ht="18" customHeight="1">
      <c r="B29" s="324" t="s">
        <v>438</v>
      </c>
      <c r="E29" s="727" t="str">
        <f>cst_wskakunin_kanri1__address</f>
        <v>京都府京都市中京区道場町1</v>
      </c>
      <c r="F29" s="728"/>
      <c r="G29" s="728"/>
      <c r="H29" s="728"/>
      <c r="I29" s="728"/>
      <c r="J29" s="728"/>
      <c r="K29" s="728"/>
      <c r="L29" s="728"/>
      <c r="M29" s="728"/>
      <c r="N29" s="728"/>
      <c r="O29" s="728"/>
      <c r="P29" s="728"/>
      <c r="Q29" s="728"/>
      <c r="R29" s="728"/>
      <c r="S29" s="728"/>
      <c r="T29" s="728"/>
      <c r="U29" s="728"/>
      <c r="V29" s="728"/>
      <c r="W29" s="728"/>
      <c r="X29" s="728"/>
      <c r="Y29" s="728"/>
      <c r="Z29" s="728"/>
      <c r="AA29" s="729"/>
    </row>
    <row r="30" spans="1:27" ht="18" customHeight="1">
      <c r="A30" s="283"/>
      <c r="B30" s="283" t="s">
        <v>214</v>
      </c>
      <c r="C30" s="283"/>
      <c r="D30" s="283"/>
      <c r="E30" s="730" t="str">
        <f>cst_wskakunin_kanri1_TEL</f>
        <v>075-000-0000</v>
      </c>
      <c r="F30" s="731"/>
      <c r="G30" s="731"/>
      <c r="H30" s="731"/>
      <c r="I30" s="731"/>
      <c r="J30" s="731"/>
      <c r="K30" s="731"/>
      <c r="L30" s="731"/>
      <c r="M30" s="283"/>
      <c r="N30" s="283"/>
      <c r="O30" s="283"/>
      <c r="P30" s="283"/>
      <c r="Q30" s="283"/>
      <c r="R30" s="283"/>
      <c r="S30" s="283"/>
      <c r="T30" s="283"/>
      <c r="U30" s="283"/>
      <c r="V30" s="283"/>
      <c r="W30" s="283"/>
      <c r="X30" s="283"/>
      <c r="Y30" s="283"/>
      <c r="Z30" s="283"/>
      <c r="AA30" s="283"/>
    </row>
    <row r="31" spans="1:27" ht="18" customHeight="1">
      <c r="A31" s="324" t="s">
        <v>2829</v>
      </c>
      <c r="E31" s="324" t="s">
        <v>2830</v>
      </c>
    </row>
    <row r="32" spans="1:27" ht="18" customHeight="1">
      <c r="B32" s="324" t="s">
        <v>106</v>
      </c>
      <c r="I32" s="308" t="s">
        <v>2831</v>
      </c>
      <c r="J32" s="732" t="str">
        <f>cst_shinsei_ISSUE_NO</f>
        <v/>
      </c>
      <c r="K32" s="733"/>
      <c r="L32" s="733"/>
      <c r="M32" s="733"/>
      <c r="N32" s="733"/>
      <c r="O32" s="733"/>
      <c r="P32" s="733"/>
      <c r="Q32" s="324" t="s">
        <v>2762</v>
      </c>
    </row>
    <row r="33" spans="1:27" ht="18" customHeight="1">
      <c r="B33" s="324" t="s">
        <v>2832</v>
      </c>
      <c r="H33" s="723" t="str">
        <f ca="1">IF(shinsei_ISSUE_DATE="",TEXT(TODAY(),"ggg"),shinsei_ISSUE_DATE)</f>
        <v>令和</v>
      </c>
      <c r="I33" s="723"/>
      <c r="J33" s="291" t="str">
        <f>cst_shinsei_ISSUE_DATE</f>
        <v/>
      </c>
      <c r="K33" s="324" t="s">
        <v>2822</v>
      </c>
      <c r="L33" s="292" t="str">
        <f>cst_shinsei_ISSUE_DATE</f>
        <v/>
      </c>
      <c r="M33" s="324" t="s">
        <v>2823</v>
      </c>
      <c r="N33" s="293" t="str">
        <f>cst_shinsei_ISSUE_DATE</f>
        <v/>
      </c>
      <c r="O33" s="324" t="s">
        <v>2824</v>
      </c>
    </row>
    <row r="34" spans="1:27" ht="18" customHeight="1">
      <c r="A34" s="283"/>
      <c r="B34" s="283" t="s">
        <v>137</v>
      </c>
      <c r="C34" s="283"/>
      <c r="D34" s="283"/>
      <c r="E34" s="283"/>
      <c r="F34" s="283"/>
      <c r="G34" s="283"/>
      <c r="H34" s="283"/>
      <c r="I34" s="734" t="str">
        <f>cst_shinsei_ISSUE_KOUFU_NAME</f>
        <v/>
      </c>
      <c r="J34" s="735"/>
      <c r="K34" s="735"/>
      <c r="L34" s="735"/>
      <c r="M34" s="735"/>
      <c r="N34" s="735"/>
      <c r="O34" s="735"/>
      <c r="P34" s="735"/>
      <c r="Q34" s="735"/>
      <c r="R34" s="735"/>
      <c r="S34" s="735"/>
      <c r="T34" s="735"/>
      <c r="U34" s="735"/>
      <c r="V34" s="735"/>
      <c r="W34" s="735"/>
      <c r="X34" s="735"/>
      <c r="Y34" s="735"/>
      <c r="Z34" s="735"/>
      <c r="AA34" s="283"/>
    </row>
    <row r="35" spans="1:27" ht="18" customHeight="1">
      <c r="A35" s="324" t="s">
        <v>2833</v>
      </c>
    </row>
    <row r="36" spans="1:27" ht="18" customHeight="1">
      <c r="B36" s="324" t="s">
        <v>194</v>
      </c>
      <c r="E36" s="691"/>
      <c r="F36" s="692"/>
      <c r="G36" s="692"/>
      <c r="H36" s="692"/>
      <c r="I36" s="692"/>
      <c r="J36" s="692"/>
      <c r="K36" s="692"/>
      <c r="L36" s="692"/>
      <c r="M36" s="692"/>
      <c r="N36" s="692"/>
      <c r="O36" s="692"/>
      <c r="P36" s="692"/>
      <c r="Q36" s="692"/>
      <c r="R36" s="692"/>
      <c r="S36" s="692"/>
      <c r="T36" s="692"/>
      <c r="U36" s="692"/>
      <c r="V36" s="692"/>
      <c r="W36" s="692"/>
      <c r="X36" s="692"/>
    </row>
    <row r="37" spans="1:27" ht="18" customHeight="1">
      <c r="B37" s="324" t="s">
        <v>1482</v>
      </c>
      <c r="E37" s="691"/>
      <c r="F37" s="692"/>
      <c r="G37" s="692"/>
      <c r="H37" s="692"/>
      <c r="I37" s="692"/>
      <c r="J37" s="692"/>
      <c r="K37" s="692"/>
      <c r="L37" s="692"/>
      <c r="M37" s="692"/>
      <c r="N37" s="692"/>
      <c r="O37" s="692"/>
      <c r="P37" s="692"/>
      <c r="Q37" s="692"/>
      <c r="R37" s="692"/>
      <c r="S37" s="692"/>
      <c r="T37" s="692"/>
      <c r="U37" s="692"/>
      <c r="V37" s="692"/>
      <c r="W37" s="692"/>
      <c r="X37" s="692"/>
    </row>
    <row r="38" spans="1:27" ht="18" customHeight="1">
      <c r="B38" s="324" t="s">
        <v>205</v>
      </c>
      <c r="E38" s="691"/>
      <c r="F38" s="692"/>
      <c r="G38" s="692"/>
      <c r="H38" s="692"/>
      <c r="I38" s="692"/>
      <c r="J38" s="692"/>
    </row>
    <row r="39" spans="1:27" ht="18" customHeight="1">
      <c r="B39" s="324" t="s">
        <v>438</v>
      </c>
      <c r="E39" s="691"/>
      <c r="F39" s="692"/>
      <c r="G39" s="692"/>
      <c r="H39" s="692"/>
      <c r="I39" s="692"/>
      <c r="J39" s="692"/>
      <c r="K39" s="692"/>
      <c r="L39" s="692"/>
      <c r="M39" s="692"/>
      <c r="N39" s="692"/>
      <c r="O39" s="692"/>
      <c r="P39" s="692"/>
      <c r="Q39" s="692"/>
      <c r="R39" s="692"/>
      <c r="S39" s="692"/>
      <c r="T39" s="692"/>
      <c r="U39" s="692"/>
      <c r="V39" s="692"/>
      <c r="W39" s="692"/>
      <c r="X39" s="692"/>
      <c r="Y39" s="692"/>
    </row>
    <row r="40" spans="1:27" ht="18" customHeight="1">
      <c r="A40" s="283"/>
      <c r="B40" s="283" t="s">
        <v>214</v>
      </c>
      <c r="C40" s="283"/>
      <c r="D40" s="283"/>
      <c r="E40" s="695"/>
      <c r="F40" s="696"/>
      <c r="G40" s="696"/>
      <c r="H40" s="696"/>
      <c r="I40" s="696"/>
      <c r="J40" s="696"/>
      <c r="K40" s="696"/>
      <c r="L40" s="696"/>
      <c r="M40" s="283"/>
      <c r="N40" s="283"/>
      <c r="O40" s="283"/>
      <c r="P40" s="283"/>
      <c r="Q40" s="283"/>
      <c r="R40" s="283"/>
      <c r="S40" s="283"/>
      <c r="T40" s="283"/>
      <c r="U40" s="283"/>
      <c r="V40" s="283"/>
      <c r="W40" s="283"/>
      <c r="X40" s="283"/>
      <c r="Y40" s="283"/>
      <c r="Z40" s="283"/>
      <c r="AA40" s="283"/>
    </row>
    <row r="41" spans="1:27" ht="18" customHeight="1">
      <c r="A41" s="324" t="s">
        <v>2834</v>
      </c>
    </row>
    <row r="42" spans="1:27" ht="15.75" customHeight="1"/>
    <row r="43" spans="1:27" ht="15.75" customHeight="1"/>
    <row r="44" spans="1:27">
      <c r="A44" s="697" t="s">
        <v>2835</v>
      </c>
      <c r="B44" s="697"/>
      <c r="C44" s="697"/>
      <c r="D44" s="697"/>
      <c r="E44" s="697"/>
      <c r="F44" s="697"/>
      <c r="G44" s="697"/>
      <c r="H44" s="697"/>
      <c r="I44" s="697"/>
      <c r="J44" s="697"/>
      <c r="K44" s="697"/>
      <c r="L44" s="697"/>
      <c r="M44" s="697"/>
      <c r="N44" s="697"/>
      <c r="O44" s="697"/>
      <c r="P44" s="697"/>
      <c r="Q44" s="697"/>
      <c r="R44" s="697"/>
      <c r="S44" s="697"/>
      <c r="T44" s="697"/>
      <c r="U44" s="697"/>
      <c r="V44" s="697"/>
      <c r="W44" s="697"/>
      <c r="X44" s="697"/>
      <c r="Y44" s="697"/>
      <c r="Z44" s="697"/>
      <c r="AA44" s="697"/>
    </row>
    <row r="45" spans="1:27" ht="16.5" customHeight="1">
      <c r="A45" s="324" t="s">
        <v>2836</v>
      </c>
    </row>
    <row r="46" spans="1:27" ht="16.5" customHeight="1">
      <c r="B46" s="324" t="s">
        <v>2837</v>
      </c>
      <c r="K46" s="723" t="str">
        <f ca="1">IF(wskakunin_KOUJI_TYAKUSYU_YOTEI_DATE="",TEXT(TODAY(),"ggg"),wskakunin_KOUJI_TYAKUSYU_YOTEI_DATE)</f>
        <v>令和</v>
      </c>
      <c r="L46" s="723"/>
      <c r="M46" s="326" t="str">
        <f>cst_wskakunin_KOUJI_TYAKUSYU_YOTEI_DATE</f>
        <v/>
      </c>
      <c r="N46" s="324" t="s">
        <v>2822</v>
      </c>
      <c r="O46" s="327" t="str">
        <f>cst_wskakunin_KOUJI_TYAKUSYU_YOTEI_DATE</f>
        <v/>
      </c>
      <c r="P46" s="324" t="s">
        <v>2823</v>
      </c>
      <c r="Q46" s="328" t="str">
        <f>cst_wskakunin_KOUJI_TYAKUSYU_YOTEI_DATE</f>
        <v/>
      </c>
      <c r="R46" s="324" t="s">
        <v>2824</v>
      </c>
    </row>
    <row r="47" spans="1:27" ht="16.5" customHeight="1">
      <c r="A47" s="283"/>
      <c r="B47" s="283" t="s">
        <v>2838</v>
      </c>
      <c r="C47" s="283"/>
      <c r="D47" s="283"/>
      <c r="E47" s="283"/>
      <c r="F47" s="283"/>
      <c r="G47" s="283"/>
      <c r="H47" s="283"/>
      <c r="I47" s="283"/>
      <c r="J47" s="283"/>
      <c r="K47" s="724">
        <f ca="1">IF(wskakunin_KOUJI_KANRYOU_YOTEI_DATE="",TEXT(TODAY(),"ggg"),wskakunin_KOUJI_KANRYOU_YOTEI_DATE)</f>
        <v>45416</v>
      </c>
      <c r="L47" s="724"/>
      <c r="M47" s="329">
        <f>cst_wskakunin_KOUJI_KANRYOU_YOTEI_DATE</f>
        <v>45416</v>
      </c>
      <c r="N47" s="283" t="s">
        <v>2822</v>
      </c>
      <c r="O47" s="330">
        <f>cst_wskakunin_KOUJI_KANRYOU_YOTEI_DATE</f>
        <v>45416</v>
      </c>
      <c r="P47" s="283" t="s">
        <v>2823</v>
      </c>
      <c r="Q47" s="331">
        <f>cst_wskakunin_KOUJI_KANRYOU_YOTEI_DATE</f>
        <v>45416</v>
      </c>
      <c r="R47" s="283" t="s">
        <v>2824</v>
      </c>
      <c r="S47" s="283"/>
      <c r="T47" s="283"/>
      <c r="U47" s="283"/>
      <c r="V47" s="283"/>
      <c r="W47" s="283"/>
      <c r="X47" s="283"/>
      <c r="Y47" s="283"/>
      <c r="Z47" s="283"/>
      <c r="AA47" s="283"/>
    </row>
    <row r="48" spans="1:27" ht="16.5" customHeight="1">
      <c r="A48" s="324" t="s">
        <v>2839</v>
      </c>
    </row>
    <row r="49" spans="1:28" ht="16.5" customHeight="1">
      <c r="B49" s="324" t="s">
        <v>2840</v>
      </c>
      <c r="I49" s="322" t="s">
        <v>2745</v>
      </c>
      <c r="J49" s="324" t="s">
        <v>2841</v>
      </c>
      <c r="M49" s="322" t="s">
        <v>2745</v>
      </c>
      <c r="N49" s="324" t="s">
        <v>2842</v>
      </c>
      <c r="T49" s="322" t="s">
        <v>2745</v>
      </c>
      <c r="U49" s="324" t="s">
        <v>2843</v>
      </c>
    </row>
    <row r="50" spans="1:28" ht="16.5" customHeight="1">
      <c r="I50" s="322" t="s">
        <v>2745</v>
      </c>
      <c r="J50" s="324" t="s">
        <v>2844</v>
      </c>
      <c r="M50" s="322" t="s">
        <v>2745</v>
      </c>
      <c r="N50" s="324" t="s">
        <v>2845</v>
      </c>
      <c r="T50" s="322" t="s">
        <v>2745</v>
      </c>
      <c r="U50" s="324" t="s">
        <v>2846</v>
      </c>
    </row>
    <row r="51" spans="1:28" ht="15" customHeight="1">
      <c r="B51" s="324" t="s">
        <v>2847</v>
      </c>
      <c r="K51" s="322" t="s">
        <v>2745</v>
      </c>
      <c r="L51" s="324" t="s">
        <v>2848</v>
      </c>
      <c r="R51" s="322" t="s">
        <v>2745</v>
      </c>
      <c r="S51" s="324" t="s">
        <v>2849</v>
      </c>
    </row>
    <row r="52" spans="1:28" ht="15" customHeight="1">
      <c r="K52" s="322" t="s">
        <v>2745</v>
      </c>
      <c r="L52" s="324" t="s">
        <v>2850</v>
      </c>
    </row>
    <row r="53" spans="1:28" ht="15" customHeight="1">
      <c r="A53" s="283"/>
      <c r="B53" s="283"/>
      <c r="C53" s="283"/>
      <c r="D53" s="283"/>
      <c r="E53" s="283"/>
      <c r="F53" s="283"/>
      <c r="G53" s="283"/>
      <c r="H53" s="283"/>
      <c r="I53" s="283"/>
      <c r="J53" s="283"/>
      <c r="K53" s="323" t="s">
        <v>2745</v>
      </c>
      <c r="L53" s="283" t="s">
        <v>2851</v>
      </c>
      <c r="M53" s="283"/>
      <c r="N53" s="283"/>
      <c r="O53" s="283"/>
      <c r="P53" s="283"/>
      <c r="Q53" s="283"/>
      <c r="R53" s="283"/>
      <c r="S53" s="283"/>
      <c r="T53" s="323" t="s">
        <v>2745</v>
      </c>
      <c r="U53" s="283" t="s">
        <v>2852</v>
      </c>
      <c r="V53" s="283"/>
      <c r="W53" s="283"/>
      <c r="X53" s="283"/>
      <c r="Y53" s="283"/>
      <c r="Z53" s="283"/>
      <c r="AA53" s="283"/>
    </row>
    <row r="54" spans="1:28" ht="16.5" customHeight="1">
      <c r="A54" s="324" t="s">
        <v>2853</v>
      </c>
    </row>
    <row r="55" spans="1:28" ht="16.5" customHeight="1">
      <c r="B55" s="324" t="s">
        <v>2854</v>
      </c>
      <c r="G55" s="725" t="str">
        <f>cst_wskakunin_BUILD__address</f>
        <v>大阪府茨木市山手台2-2-2</v>
      </c>
      <c r="H55" s="725"/>
      <c r="I55" s="725"/>
      <c r="J55" s="725"/>
      <c r="K55" s="725"/>
      <c r="L55" s="725"/>
      <c r="M55" s="725"/>
      <c r="N55" s="725"/>
      <c r="O55" s="725"/>
      <c r="P55" s="725"/>
      <c r="Q55" s="725"/>
      <c r="R55" s="725"/>
      <c r="S55" s="725"/>
      <c r="T55" s="725"/>
      <c r="U55" s="725"/>
      <c r="V55" s="725"/>
      <c r="W55" s="725"/>
      <c r="X55" s="725"/>
      <c r="Y55" s="725"/>
      <c r="Z55" s="725"/>
      <c r="AA55" s="725"/>
      <c r="AB55" s="725"/>
    </row>
    <row r="56" spans="1:28" ht="16.5" customHeight="1">
      <c r="G56" s="726"/>
      <c r="H56" s="726"/>
      <c r="I56" s="726"/>
      <c r="J56" s="726"/>
      <c r="K56" s="726"/>
      <c r="L56" s="726"/>
      <c r="M56" s="726"/>
      <c r="N56" s="726"/>
      <c r="O56" s="726"/>
      <c r="P56" s="726"/>
      <c r="Q56" s="726"/>
      <c r="R56" s="726"/>
      <c r="S56" s="726"/>
      <c r="T56" s="726"/>
      <c r="U56" s="726"/>
      <c r="V56" s="726"/>
      <c r="W56" s="726"/>
      <c r="X56" s="726"/>
      <c r="Y56" s="726"/>
      <c r="Z56" s="726"/>
      <c r="AA56" s="726"/>
      <c r="AB56" s="726"/>
    </row>
    <row r="57" spans="1:28" ht="16.5" customHeight="1">
      <c r="G57" s="726"/>
      <c r="H57" s="726"/>
      <c r="I57" s="726"/>
      <c r="J57" s="726"/>
      <c r="K57" s="726"/>
      <c r="L57" s="726"/>
      <c r="M57" s="726"/>
      <c r="N57" s="726"/>
      <c r="O57" s="726"/>
      <c r="P57" s="726"/>
      <c r="Q57" s="726"/>
      <c r="R57" s="726"/>
      <c r="S57" s="726"/>
      <c r="T57" s="726"/>
      <c r="U57" s="726"/>
      <c r="V57" s="726"/>
      <c r="W57" s="726"/>
      <c r="X57" s="726"/>
      <c r="Y57" s="726"/>
      <c r="Z57" s="726"/>
      <c r="AA57" s="726"/>
      <c r="AB57" s="726"/>
    </row>
    <row r="58" spans="1:28" ht="16.5" customHeight="1">
      <c r="B58" s="324" t="s">
        <v>2855</v>
      </c>
      <c r="G58" s="284" t="str">
        <f>IF(cst_wskakunin_KUIKI_SIGAIKA="■","☑","□")</f>
        <v>□</v>
      </c>
      <c r="H58" s="324" t="s">
        <v>2856</v>
      </c>
      <c r="N58" s="284" t="str">
        <f>IF(cst_wskakunin_KUIKI_TYOSEI="■","☑","□")</f>
        <v>□</v>
      </c>
      <c r="O58" s="324" t="s">
        <v>2857</v>
      </c>
    </row>
    <row r="59" spans="1:28" ht="16.5" customHeight="1">
      <c r="G59" s="284" t="str">
        <f>IF(cst_wskakunin_KUIKI_HISETTEI="■","☑","□")</f>
        <v>□</v>
      </c>
      <c r="H59" s="324" t="s">
        <v>2858</v>
      </c>
      <c r="R59" s="284" t="str">
        <f>IF(cst_wskakunin_KUIKI_JYUN_TOSHI="■","☑","□")</f>
        <v>□</v>
      </c>
      <c r="S59" s="324" t="s">
        <v>2859</v>
      </c>
    </row>
    <row r="60" spans="1:28" ht="16.5" customHeight="1">
      <c r="A60" s="283"/>
      <c r="B60" s="283"/>
      <c r="C60" s="283"/>
      <c r="D60" s="283"/>
      <c r="E60" s="283"/>
      <c r="F60" s="283"/>
      <c r="G60" s="285" t="str">
        <f>IF(cst_wskakunin_KUIKI_KUIKIGAI="■","☑","□")</f>
        <v>□</v>
      </c>
      <c r="H60" s="283" t="s">
        <v>2860</v>
      </c>
      <c r="I60" s="283"/>
      <c r="J60" s="283"/>
      <c r="K60" s="283"/>
      <c r="L60" s="283"/>
      <c r="M60" s="283"/>
      <c r="N60" s="283"/>
      <c r="O60" s="283"/>
      <c r="P60" s="283"/>
      <c r="Q60" s="283"/>
      <c r="R60" s="283"/>
      <c r="S60" s="283"/>
      <c r="T60" s="283"/>
      <c r="U60" s="283"/>
      <c r="V60" s="283"/>
      <c r="W60" s="283"/>
      <c r="X60" s="283"/>
      <c r="Y60" s="283"/>
      <c r="Z60" s="283"/>
      <c r="AA60" s="283"/>
    </row>
    <row r="61" spans="1:28" ht="16.5" customHeight="1">
      <c r="A61" s="317" t="s">
        <v>2861</v>
      </c>
      <c r="B61" s="317"/>
      <c r="C61" s="317"/>
      <c r="D61" s="317"/>
      <c r="E61" s="317"/>
      <c r="F61" s="318" t="str">
        <f>IF(cst_wskakunin_KOUJI_SINTIKU_box="■","☑","□")</f>
        <v>☑</v>
      </c>
      <c r="G61" s="317" t="s">
        <v>2862</v>
      </c>
      <c r="H61" s="317"/>
      <c r="I61" s="317"/>
      <c r="J61" s="317"/>
      <c r="K61" s="318" t="str">
        <f>IF(cst_wskakunin_KOUJI_ZOUTIKU_box="■","☑","□")</f>
        <v>□</v>
      </c>
      <c r="L61" s="317" t="s">
        <v>2863</v>
      </c>
      <c r="M61" s="317"/>
      <c r="N61" s="317"/>
      <c r="O61" s="317"/>
      <c r="P61" s="318" t="str">
        <f>IF(cst_wskakunin_KOUJI_KAITIKU_box="■","☑","□")</f>
        <v>□</v>
      </c>
      <c r="Q61" s="317" t="s">
        <v>2864</v>
      </c>
      <c r="R61" s="317"/>
      <c r="S61" s="317"/>
      <c r="T61" s="317"/>
      <c r="U61" s="318" t="str">
        <f>IF(cst_wskakunin_KOUJI_ITEN_box="■","☑","□")</f>
        <v>□</v>
      </c>
      <c r="V61" s="317" t="s">
        <v>2865</v>
      </c>
      <c r="W61" s="317"/>
      <c r="X61" s="317"/>
      <c r="Y61" s="317"/>
      <c r="Z61" s="317"/>
      <c r="AA61" s="317"/>
    </row>
    <row r="62" spans="1:28" ht="16.5" customHeight="1">
      <c r="A62" s="324" t="s">
        <v>2866</v>
      </c>
      <c r="G62" s="324" t="s">
        <v>2867</v>
      </c>
      <c r="N62" s="308" t="s">
        <v>2868</v>
      </c>
      <c r="O62" s="698"/>
      <c r="P62" s="699"/>
      <c r="Q62" s="324" t="s">
        <v>2869</v>
      </c>
      <c r="R62" s="700" t="str">
        <f>IF(O62="","",VLOOKUP(O62,工事届用主要用途区分,2,FALSE))</f>
        <v/>
      </c>
      <c r="S62" s="701"/>
      <c r="T62" s="701"/>
      <c r="U62" s="701"/>
      <c r="V62" s="701"/>
      <c r="W62" s="701"/>
      <c r="X62" s="701"/>
      <c r="Y62" s="701"/>
      <c r="Z62" s="701"/>
      <c r="AA62" s="701"/>
    </row>
    <row r="63" spans="1:28" ht="16.5" customHeight="1">
      <c r="G63" s="324" t="s">
        <v>2870</v>
      </c>
      <c r="N63" s="308" t="s">
        <v>2868</v>
      </c>
      <c r="O63" s="702"/>
      <c r="P63" s="703"/>
      <c r="Q63" s="324" t="s">
        <v>2869</v>
      </c>
      <c r="R63" s="691" t="str">
        <f>IF(O63="","",VLOOKUP(O63,工事届用主要用途区分,2,FALSE))</f>
        <v/>
      </c>
      <c r="S63" s="692"/>
      <c r="T63" s="692"/>
      <c r="U63" s="692"/>
      <c r="V63" s="692"/>
      <c r="W63" s="692"/>
      <c r="X63" s="692"/>
      <c r="Y63" s="692"/>
      <c r="Z63" s="692"/>
      <c r="AA63" s="692"/>
    </row>
    <row r="64" spans="1:28" ht="16.5" customHeight="1">
      <c r="A64" s="283"/>
      <c r="B64" s="283"/>
      <c r="C64" s="283"/>
      <c r="D64" s="283"/>
      <c r="E64" s="283"/>
      <c r="F64" s="283"/>
      <c r="G64" s="283" t="s">
        <v>2871</v>
      </c>
      <c r="H64" s="283"/>
      <c r="I64" s="283"/>
      <c r="J64" s="283"/>
      <c r="K64" s="283"/>
      <c r="L64" s="283"/>
      <c r="M64" s="283"/>
      <c r="N64" s="310" t="s">
        <v>2868</v>
      </c>
      <c r="O64" s="721"/>
      <c r="P64" s="722"/>
      <c r="Q64" s="283" t="s">
        <v>2869</v>
      </c>
      <c r="R64" s="695" t="str">
        <f>IF(O64="","",VLOOKUP(O64,工事届用主要用途区分,2,FALSE))</f>
        <v/>
      </c>
      <c r="S64" s="696"/>
      <c r="T64" s="696"/>
      <c r="U64" s="696"/>
      <c r="V64" s="696"/>
      <c r="W64" s="696"/>
      <c r="X64" s="696"/>
      <c r="Y64" s="696"/>
      <c r="Z64" s="696"/>
      <c r="AA64" s="696"/>
    </row>
    <row r="65" spans="1:28" ht="16.5" customHeight="1">
      <c r="A65" s="324" t="s">
        <v>2872</v>
      </c>
    </row>
    <row r="66" spans="1:28" ht="16.5" customHeight="1">
      <c r="B66" s="324" t="s">
        <v>2873</v>
      </c>
      <c r="F66" s="308"/>
      <c r="H66" s="308" t="s">
        <v>2868</v>
      </c>
      <c r="I66" s="720" t="str">
        <f>IF(AND(I92="",I94=""),"",1)</f>
        <v/>
      </c>
      <c r="J66" s="708"/>
      <c r="K66" s="708"/>
      <c r="L66" s="708"/>
      <c r="M66" s="708"/>
      <c r="N66" s="324" t="s">
        <v>2874</v>
      </c>
      <c r="O66" s="308" t="s">
        <v>2868</v>
      </c>
      <c r="P66" s="704" t="str">
        <f>IF(AND(P92="",P94=""),"",2)</f>
        <v/>
      </c>
      <c r="Q66" s="708"/>
      <c r="R66" s="708"/>
      <c r="S66" s="708"/>
      <c r="T66" s="708"/>
      <c r="U66" s="324" t="s">
        <v>2874</v>
      </c>
      <c r="V66" s="308" t="s">
        <v>2868</v>
      </c>
      <c r="W66" s="704" t="str">
        <f>IF(AND(W92="",W94=""),"",3)</f>
        <v/>
      </c>
      <c r="X66" s="708"/>
      <c r="Y66" s="708"/>
      <c r="Z66" s="708"/>
      <c r="AA66" s="708"/>
      <c r="AB66" s="324" t="s">
        <v>2874</v>
      </c>
    </row>
    <row r="67" spans="1:28" ht="16.5" customHeight="1">
      <c r="B67" s="324" t="s">
        <v>2875</v>
      </c>
      <c r="H67" s="322" t="s">
        <v>2745</v>
      </c>
      <c r="I67" s="324" t="s">
        <v>2876</v>
      </c>
      <c r="J67" s="324" t="s">
        <v>1656</v>
      </c>
      <c r="O67" s="322" t="s">
        <v>2745</v>
      </c>
      <c r="P67" s="324" t="s">
        <v>2876</v>
      </c>
      <c r="Q67" s="324" t="s">
        <v>1656</v>
      </c>
      <c r="V67" s="322" t="s">
        <v>2745</v>
      </c>
      <c r="W67" s="324" t="s">
        <v>2876</v>
      </c>
      <c r="X67" s="324" t="s">
        <v>1656</v>
      </c>
    </row>
    <row r="68" spans="1:28" ht="15" customHeight="1">
      <c r="H68" s="322" t="s">
        <v>2745</v>
      </c>
      <c r="I68" s="324" t="s">
        <v>2877</v>
      </c>
      <c r="J68" s="324" t="s">
        <v>2878</v>
      </c>
      <c r="O68" s="322" t="s">
        <v>2745</v>
      </c>
      <c r="P68" s="324" t="s">
        <v>2877</v>
      </c>
      <c r="Q68" s="324" t="s">
        <v>2878</v>
      </c>
      <c r="V68" s="322" t="s">
        <v>2745</v>
      </c>
      <c r="W68" s="324" t="s">
        <v>2877</v>
      </c>
      <c r="X68" s="324" t="s">
        <v>2878</v>
      </c>
    </row>
    <row r="69" spans="1:28" ht="15" customHeight="1">
      <c r="J69" s="324" t="s">
        <v>2879</v>
      </c>
      <c r="Q69" s="324" t="s">
        <v>2879</v>
      </c>
      <c r="X69" s="324" t="s">
        <v>2879</v>
      </c>
    </row>
    <row r="70" spans="1:28" ht="15" customHeight="1">
      <c r="H70" s="322" t="s">
        <v>2745</v>
      </c>
      <c r="I70" s="324" t="s">
        <v>2880</v>
      </c>
      <c r="J70" s="324" t="s">
        <v>1660</v>
      </c>
      <c r="O70" s="322" t="s">
        <v>2745</v>
      </c>
      <c r="P70" s="324" t="s">
        <v>2880</v>
      </c>
      <c r="Q70" s="324" t="s">
        <v>1660</v>
      </c>
      <c r="V70" s="322" t="s">
        <v>2745</v>
      </c>
      <c r="W70" s="324" t="s">
        <v>2880</v>
      </c>
      <c r="X70" s="324" t="s">
        <v>1660</v>
      </c>
    </row>
    <row r="71" spans="1:28" ht="15" customHeight="1">
      <c r="H71" s="322" t="s">
        <v>2745</v>
      </c>
      <c r="I71" s="324" t="s">
        <v>2881</v>
      </c>
      <c r="J71" s="324" t="s">
        <v>1662</v>
      </c>
      <c r="O71" s="322" t="s">
        <v>2745</v>
      </c>
      <c r="P71" s="324" t="s">
        <v>2881</v>
      </c>
      <c r="Q71" s="324" t="s">
        <v>1662</v>
      </c>
      <c r="V71" s="322" t="s">
        <v>2745</v>
      </c>
      <c r="W71" s="324" t="s">
        <v>2881</v>
      </c>
      <c r="X71" s="324" t="s">
        <v>1662</v>
      </c>
    </row>
    <row r="72" spans="1:28" ht="15" customHeight="1">
      <c r="H72" s="322" t="s">
        <v>2745</v>
      </c>
      <c r="I72" s="324" t="s">
        <v>2882</v>
      </c>
      <c r="J72" s="324" t="s">
        <v>1664</v>
      </c>
      <c r="O72" s="322" t="s">
        <v>2745</v>
      </c>
      <c r="P72" s="324" t="s">
        <v>2882</v>
      </c>
      <c r="Q72" s="324" t="s">
        <v>1664</v>
      </c>
      <c r="V72" s="322" t="s">
        <v>2745</v>
      </c>
      <c r="W72" s="324" t="s">
        <v>2882</v>
      </c>
      <c r="X72" s="324" t="s">
        <v>1664</v>
      </c>
    </row>
    <row r="73" spans="1:28" ht="15" customHeight="1">
      <c r="H73" s="322" t="s">
        <v>2745</v>
      </c>
      <c r="I73" s="324" t="s">
        <v>2883</v>
      </c>
      <c r="J73" s="324" t="s">
        <v>1666</v>
      </c>
      <c r="O73" s="322" t="s">
        <v>2745</v>
      </c>
      <c r="P73" s="324" t="s">
        <v>2883</v>
      </c>
      <c r="Q73" s="324" t="s">
        <v>1666</v>
      </c>
      <c r="V73" s="322" t="s">
        <v>2745</v>
      </c>
      <c r="W73" s="324" t="s">
        <v>2883</v>
      </c>
      <c r="X73" s="324" t="s">
        <v>1666</v>
      </c>
    </row>
    <row r="74" spans="1:28" ht="15" customHeight="1">
      <c r="H74" s="322" t="s">
        <v>2745</v>
      </c>
      <c r="I74" s="324" t="s">
        <v>2884</v>
      </c>
      <c r="J74" s="324" t="s">
        <v>1668</v>
      </c>
      <c r="O74" s="322" t="s">
        <v>2745</v>
      </c>
      <c r="P74" s="324" t="s">
        <v>2884</v>
      </c>
      <c r="Q74" s="324" t="s">
        <v>1668</v>
      </c>
      <c r="V74" s="322" t="s">
        <v>2745</v>
      </c>
      <c r="W74" s="324" t="s">
        <v>2884</v>
      </c>
      <c r="X74" s="324" t="s">
        <v>1668</v>
      </c>
    </row>
    <row r="75" spans="1:28" ht="15" customHeight="1">
      <c r="H75" s="322" t="s">
        <v>2745</v>
      </c>
      <c r="I75" s="324" t="s">
        <v>2885</v>
      </c>
      <c r="O75" s="322" t="s">
        <v>2745</v>
      </c>
      <c r="P75" s="324" t="s">
        <v>2885</v>
      </c>
      <c r="V75" s="322" t="s">
        <v>2745</v>
      </c>
      <c r="W75" s="324" t="s">
        <v>2885</v>
      </c>
    </row>
    <row r="76" spans="1:28" ht="15" customHeight="1">
      <c r="B76" s="324" t="s">
        <v>2886</v>
      </c>
      <c r="H76" s="322" t="s">
        <v>2745</v>
      </c>
      <c r="I76" s="324" t="s">
        <v>2876</v>
      </c>
      <c r="J76" s="324" t="s">
        <v>2444</v>
      </c>
      <c r="O76" s="322" t="s">
        <v>2745</v>
      </c>
      <c r="P76" s="324" t="s">
        <v>2876</v>
      </c>
      <c r="Q76" s="324" t="s">
        <v>2444</v>
      </c>
      <c r="V76" s="322" t="s">
        <v>2745</v>
      </c>
      <c r="W76" s="324" t="s">
        <v>2876</v>
      </c>
      <c r="X76" s="324" t="s">
        <v>2444</v>
      </c>
    </row>
    <row r="77" spans="1:28" ht="15" customHeight="1">
      <c r="H77" s="322" t="s">
        <v>2745</v>
      </c>
      <c r="I77" s="324" t="s">
        <v>2877</v>
      </c>
      <c r="J77" s="324" t="s">
        <v>2887</v>
      </c>
      <c r="O77" s="322" t="s">
        <v>2745</v>
      </c>
      <c r="P77" s="324" t="s">
        <v>2877</v>
      </c>
      <c r="Q77" s="324" t="s">
        <v>2887</v>
      </c>
      <c r="V77" s="322" t="s">
        <v>2745</v>
      </c>
      <c r="W77" s="324" t="s">
        <v>2877</v>
      </c>
      <c r="X77" s="324" t="s">
        <v>2887</v>
      </c>
    </row>
    <row r="78" spans="1:28" ht="15" customHeight="1">
      <c r="J78" s="324" t="s">
        <v>2888</v>
      </c>
      <c r="Q78" s="324" t="s">
        <v>2888</v>
      </c>
      <c r="X78" s="324" t="s">
        <v>2888</v>
      </c>
    </row>
    <row r="79" spans="1:28" ht="15" customHeight="1">
      <c r="H79" s="322" t="s">
        <v>2745</v>
      </c>
      <c r="I79" s="324" t="s">
        <v>2880</v>
      </c>
      <c r="J79" s="324" t="s">
        <v>2889</v>
      </c>
      <c r="O79" s="322" t="s">
        <v>2745</v>
      </c>
      <c r="P79" s="324" t="s">
        <v>2880</v>
      </c>
      <c r="Q79" s="324" t="s">
        <v>2889</v>
      </c>
      <c r="V79" s="322" t="s">
        <v>2745</v>
      </c>
      <c r="W79" s="324" t="s">
        <v>2880</v>
      </c>
      <c r="X79" s="324" t="s">
        <v>2889</v>
      </c>
    </row>
    <row r="80" spans="1:28" ht="15" customHeight="1">
      <c r="J80" s="324" t="s">
        <v>2890</v>
      </c>
      <c r="Q80" s="324" t="s">
        <v>2890</v>
      </c>
      <c r="X80" s="324" t="s">
        <v>2890</v>
      </c>
    </row>
    <row r="81" spans="1:28" ht="15" customHeight="1">
      <c r="H81" s="322" t="s">
        <v>2745</v>
      </c>
      <c r="I81" s="324" t="s">
        <v>2881</v>
      </c>
      <c r="J81" s="324" t="s">
        <v>2500</v>
      </c>
      <c r="O81" s="322" t="s">
        <v>2745</v>
      </c>
      <c r="P81" s="324" t="s">
        <v>2881</v>
      </c>
      <c r="Q81" s="324" t="s">
        <v>2500</v>
      </c>
      <c r="V81" s="322" t="s">
        <v>2745</v>
      </c>
      <c r="W81" s="324" t="s">
        <v>2881</v>
      </c>
      <c r="X81" s="324" t="s">
        <v>2500</v>
      </c>
    </row>
    <row r="82" spans="1:28" ht="15" customHeight="1">
      <c r="H82" s="322" t="s">
        <v>2745</v>
      </c>
      <c r="I82" s="324" t="s">
        <v>2882</v>
      </c>
      <c r="J82" s="324" t="s">
        <v>2891</v>
      </c>
      <c r="O82" s="322" t="s">
        <v>2745</v>
      </c>
      <c r="P82" s="324" t="s">
        <v>2882</v>
      </c>
      <c r="Q82" s="324" t="s">
        <v>2891</v>
      </c>
      <c r="V82" s="322" t="s">
        <v>2745</v>
      </c>
      <c r="W82" s="324" t="s">
        <v>2882</v>
      </c>
      <c r="X82" s="324" t="s">
        <v>2891</v>
      </c>
    </row>
    <row r="83" spans="1:28" ht="15" customHeight="1">
      <c r="J83" s="324" t="s">
        <v>2892</v>
      </c>
      <c r="Q83" s="324" t="s">
        <v>2892</v>
      </c>
      <c r="X83" s="324" t="s">
        <v>2892</v>
      </c>
    </row>
    <row r="84" spans="1:28" ht="15" customHeight="1">
      <c r="H84" s="322" t="s">
        <v>2745</v>
      </c>
      <c r="I84" s="324" t="s">
        <v>2883</v>
      </c>
      <c r="J84" s="324" t="s">
        <v>1668</v>
      </c>
      <c r="O84" s="322" t="s">
        <v>2745</v>
      </c>
      <c r="P84" s="324" t="s">
        <v>2883</v>
      </c>
      <c r="Q84" s="324" t="s">
        <v>1668</v>
      </c>
      <c r="V84" s="322" t="s">
        <v>2745</v>
      </c>
      <c r="W84" s="324" t="s">
        <v>2883</v>
      </c>
      <c r="X84" s="324" t="s">
        <v>1668</v>
      </c>
    </row>
    <row r="85" spans="1:28" ht="15" customHeight="1">
      <c r="B85" s="324" t="s">
        <v>2893</v>
      </c>
    </row>
    <row r="86" spans="1:28" ht="15" customHeight="1">
      <c r="H86" s="308" t="s">
        <v>2868</v>
      </c>
      <c r="I86" s="704"/>
      <c r="J86" s="719"/>
      <c r="K86" s="719"/>
      <c r="L86" s="719"/>
      <c r="M86" s="324" t="s">
        <v>2894</v>
      </c>
      <c r="O86" s="308" t="s">
        <v>2868</v>
      </c>
      <c r="P86" s="704"/>
      <c r="Q86" s="719"/>
      <c r="R86" s="719"/>
      <c r="S86" s="719"/>
      <c r="T86" s="324" t="s">
        <v>2894</v>
      </c>
      <c r="V86" s="308" t="s">
        <v>2868</v>
      </c>
      <c r="W86" s="704"/>
      <c r="X86" s="704"/>
      <c r="Y86" s="704"/>
      <c r="Z86" s="704"/>
      <c r="AA86" s="324" t="s">
        <v>2894</v>
      </c>
    </row>
    <row r="87" spans="1:28" ht="16.5" customHeight="1">
      <c r="B87" s="324" t="s">
        <v>2895</v>
      </c>
    </row>
    <row r="88" spans="1:28" ht="15.75" customHeight="1">
      <c r="C88" s="324" t="s">
        <v>2896</v>
      </c>
      <c r="H88" s="308" t="s">
        <v>2868</v>
      </c>
      <c r="I88" s="715" t="str">
        <f>cst_wskakunin_NOBE_MENSEKI_BUILD_SHINSEI</f>
        <v/>
      </c>
      <c r="J88" s="716"/>
      <c r="K88" s="716"/>
      <c r="L88" s="716"/>
      <c r="M88" s="716"/>
      <c r="N88" s="324" t="s">
        <v>2874</v>
      </c>
      <c r="O88" s="308" t="s">
        <v>2868</v>
      </c>
      <c r="P88" s="717"/>
      <c r="Q88" s="718"/>
      <c r="R88" s="718"/>
      <c r="S88" s="718"/>
      <c r="T88" s="718"/>
      <c r="U88" s="324" t="s">
        <v>2874</v>
      </c>
      <c r="V88" s="308" t="s">
        <v>2868</v>
      </c>
      <c r="W88" s="717"/>
      <c r="X88" s="718"/>
      <c r="Y88" s="718"/>
      <c r="Z88" s="718"/>
      <c r="AA88" s="718"/>
      <c r="AB88" s="324" t="s">
        <v>2874</v>
      </c>
    </row>
    <row r="89" spans="1:28" ht="16.5" customHeight="1">
      <c r="B89" s="324" t="s">
        <v>2897</v>
      </c>
      <c r="I89" s="308"/>
      <c r="O89" s="308"/>
      <c r="V89" s="308"/>
    </row>
    <row r="90" spans="1:28" ht="16.5" customHeight="1">
      <c r="H90" s="308" t="s">
        <v>2868</v>
      </c>
      <c r="I90" s="704"/>
      <c r="J90" s="719"/>
      <c r="K90" s="719"/>
      <c r="L90" s="719"/>
      <c r="M90" s="324" t="s">
        <v>2898</v>
      </c>
      <c r="O90" s="308" t="s">
        <v>2868</v>
      </c>
      <c r="P90" s="704"/>
      <c r="Q90" s="719"/>
      <c r="R90" s="719"/>
      <c r="S90" s="719"/>
      <c r="T90" s="324" t="s">
        <v>2898</v>
      </c>
      <c r="V90" s="308" t="s">
        <v>2868</v>
      </c>
      <c r="W90" s="704"/>
      <c r="X90" s="704"/>
      <c r="Y90" s="704"/>
      <c r="Z90" s="704"/>
      <c r="AA90" s="324" t="s">
        <v>2898</v>
      </c>
    </row>
    <row r="91" spans="1:28" ht="16.5" customHeight="1">
      <c r="B91" s="324" t="s">
        <v>2899</v>
      </c>
    </row>
    <row r="92" spans="1:28" ht="16.5" customHeight="1">
      <c r="H92" s="308" t="s">
        <v>2868</v>
      </c>
      <c r="I92" s="711" t="str">
        <f>cst_wskakunin_p4_1_KAISU_TIKAI_NOZOKU</f>
        <v/>
      </c>
      <c r="J92" s="711"/>
      <c r="K92" s="711"/>
      <c r="L92" s="711"/>
      <c r="M92" s="711"/>
      <c r="N92" s="324" t="s">
        <v>2874</v>
      </c>
      <c r="O92" s="308" t="s">
        <v>2868</v>
      </c>
      <c r="P92" s="712"/>
      <c r="Q92" s="712"/>
      <c r="R92" s="712"/>
      <c r="S92" s="712"/>
      <c r="T92" s="712"/>
      <c r="U92" s="324" t="s">
        <v>2874</v>
      </c>
      <c r="V92" s="308" t="s">
        <v>2868</v>
      </c>
      <c r="W92" s="712"/>
      <c r="X92" s="712"/>
      <c r="Y92" s="712"/>
      <c r="Z92" s="712"/>
      <c r="AA92" s="712"/>
      <c r="AB92" s="324" t="s">
        <v>2874</v>
      </c>
    </row>
    <row r="93" spans="1:28" ht="16.5" customHeight="1">
      <c r="B93" s="324" t="s">
        <v>2900</v>
      </c>
    </row>
    <row r="94" spans="1:28" ht="16.5" customHeight="1">
      <c r="A94" s="283"/>
      <c r="B94" s="283"/>
      <c r="C94" s="283"/>
      <c r="D94" s="283"/>
      <c r="E94" s="283"/>
      <c r="F94" s="283"/>
      <c r="G94" s="283"/>
      <c r="H94" s="308" t="s">
        <v>2868</v>
      </c>
      <c r="I94" s="713" t="str">
        <f>cst_wskakunin_p4_1_KAISU_TIKAI</f>
        <v/>
      </c>
      <c r="J94" s="714"/>
      <c r="K94" s="714"/>
      <c r="L94" s="714"/>
      <c r="M94" s="714"/>
      <c r="N94" s="324" t="s">
        <v>2874</v>
      </c>
      <c r="O94" s="308" t="s">
        <v>2868</v>
      </c>
      <c r="P94" s="712"/>
      <c r="Q94" s="712"/>
      <c r="R94" s="712"/>
      <c r="S94" s="712"/>
      <c r="T94" s="712"/>
      <c r="U94" s="324" t="s">
        <v>2874</v>
      </c>
      <c r="V94" s="308" t="s">
        <v>2868</v>
      </c>
      <c r="W94" s="712"/>
      <c r="X94" s="712"/>
      <c r="Y94" s="712"/>
      <c r="Z94" s="712"/>
      <c r="AA94" s="712"/>
      <c r="AB94" s="324" t="s">
        <v>2874</v>
      </c>
    </row>
    <row r="95" spans="1:28" ht="16.5" customHeight="1">
      <c r="A95" s="317" t="s">
        <v>2901</v>
      </c>
      <c r="B95" s="317"/>
      <c r="C95" s="317"/>
      <c r="D95" s="317"/>
      <c r="E95" s="317"/>
      <c r="F95" s="317"/>
      <c r="G95" s="317"/>
      <c r="H95" s="317"/>
      <c r="I95" s="317"/>
      <c r="J95" s="317"/>
      <c r="K95" s="317"/>
      <c r="L95" s="317"/>
      <c r="M95" s="317"/>
      <c r="N95" s="706" t="str">
        <f>cst_wskakunin_SHIKITI_MENSEKI_1_TOTAL</f>
        <v/>
      </c>
      <c r="O95" s="707"/>
      <c r="P95" s="707"/>
      <c r="Q95" s="707"/>
      <c r="R95" s="707"/>
      <c r="S95" s="317" t="s">
        <v>2902</v>
      </c>
      <c r="T95" s="317"/>
      <c r="U95" s="317"/>
      <c r="V95" s="317"/>
      <c r="W95" s="317"/>
      <c r="X95" s="317"/>
      <c r="Y95" s="317"/>
      <c r="Z95" s="317"/>
      <c r="AA95" s="317"/>
    </row>
    <row r="96" spans="1:28" ht="8.25" customHeight="1"/>
    <row r="97" spans="1:27" ht="15" customHeight="1">
      <c r="A97" s="697" t="s">
        <v>2903</v>
      </c>
      <c r="B97" s="697"/>
      <c r="C97" s="697"/>
      <c r="D97" s="697"/>
      <c r="E97" s="697"/>
      <c r="F97" s="697"/>
      <c r="G97" s="697"/>
      <c r="H97" s="697"/>
      <c r="I97" s="697"/>
      <c r="J97" s="697"/>
      <c r="K97" s="697"/>
      <c r="L97" s="697"/>
      <c r="M97" s="697"/>
      <c r="N97" s="697"/>
      <c r="O97" s="697"/>
      <c r="P97" s="697"/>
      <c r="Q97" s="697"/>
      <c r="R97" s="697"/>
      <c r="S97" s="697"/>
      <c r="T97" s="697"/>
      <c r="U97" s="697"/>
      <c r="V97" s="697"/>
      <c r="W97" s="697"/>
      <c r="X97" s="697"/>
      <c r="Y97" s="697"/>
      <c r="Z97" s="697"/>
      <c r="AA97" s="697"/>
    </row>
    <row r="98" spans="1:27" ht="16.5" customHeight="1">
      <c r="A98" s="324" t="s">
        <v>2904</v>
      </c>
    </row>
    <row r="99" spans="1:27" ht="16.5" customHeight="1">
      <c r="B99" s="324" t="s">
        <v>2873</v>
      </c>
      <c r="G99" s="704"/>
      <c r="H99" s="708"/>
      <c r="I99" s="708"/>
    </row>
    <row r="100" spans="1:27" ht="16.5" customHeight="1">
      <c r="B100" s="324" t="s">
        <v>2905</v>
      </c>
      <c r="J100" s="324" t="s">
        <v>2906</v>
      </c>
      <c r="M100" s="324" t="s">
        <v>2868</v>
      </c>
      <c r="N100" s="322" t="s">
        <v>2745</v>
      </c>
      <c r="O100" s="324" t="s">
        <v>1879</v>
      </c>
      <c r="Q100" s="322" t="s">
        <v>2745</v>
      </c>
      <c r="R100" s="324" t="s">
        <v>1883</v>
      </c>
      <c r="T100" s="322" t="s">
        <v>2745</v>
      </c>
      <c r="U100" s="324" t="s">
        <v>1886</v>
      </c>
      <c r="W100" s="324" t="s">
        <v>2874</v>
      </c>
    </row>
    <row r="101" spans="1:27" ht="16.5" customHeight="1">
      <c r="J101" s="324" t="s">
        <v>2907</v>
      </c>
      <c r="M101" s="324" t="s">
        <v>2868</v>
      </c>
      <c r="Q101" s="322" t="s">
        <v>2745</v>
      </c>
      <c r="R101" s="324" t="s">
        <v>1883</v>
      </c>
      <c r="T101" s="322" t="s">
        <v>2745</v>
      </c>
      <c r="U101" s="324" t="s">
        <v>1886</v>
      </c>
      <c r="W101" s="324" t="s">
        <v>2874</v>
      </c>
    </row>
    <row r="102" spans="1:27" ht="16.5" customHeight="1">
      <c r="B102" s="324" t="s">
        <v>2908</v>
      </c>
      <c r="H102" s="322" t="s">
        <v>2745</v>
      </c>
      <c r="I102" s="324" t="s">
        <v>2909</v>
      </c>
      <c r="O102" s="322" t="s">
        <v>2745</v>
      </c>
      <c r="P102" s="324" t="s">
        <v>2910</v>
      </c>
      <c r="T102" s="322" t="s">
        <v>2745</v>
      </c>
      <c r="U102" s="324" t="s">
        <v>2911</v>
      </c>
    </row>
    <row r="103" spans="1:27" ht="16.5" customHeight="1">
      <c r="H103" s="322" t="s">
        <v>2745</v>
      </c>
      <c r="I103" s="324" t="s">
        <v>2912</v>
      </c>
      <c r="P103" s="322" t="s">
        <v>2745</v>
      </c>
      <c r="Q103" s="324" t="s">
        <v>2913</v>
      </c>
    </row>
    <row r="104" spans="1:27" ht="16.5" customHeight="1">
      <c r="B104" s="324" t="s">
        <v>2914</v>
      </c>
      <c r="H104" s="322" t="s">
        <v>2745</v>
      </c>
      <c r="I104" s="324" t="s">
        <v>2915</v>
      </c>
      <c r="N104" s="322" t="s">
        <v>2745</v>
      </c>
      <c r="O104" s="324" t="s">
        <v>2916</v>
      </c>
      <c r="U104" s="322" t="s">
        <v>2745</v>
      </c>
      <c r="V104" s="324" t="s">
        <v>2917</v>
      </c>
    </row>
    <row r="105" spans="1:27" ht="16.5" customHeight="1">
      <c r="B105" s="324" t="s">
        <v>2918</v>
      </c>
      <c r="H105" s="322" t="s">
        <v>2745</v>
      </c>
      <c r="I105" s="324" t="s">
        <v>2919</v>
      </c>
      <c r="N105" s="322" t="s">
        <v>2745</v>
      </c>
      <c r="O105" s="324" t="s">
        <v>2920</v>
      </c>
      <c r="U105" s="322" t="s">
        <v>2745</v>
      </c>
      <c r="V105" s="324" t="s">
        <v>2921</v>
      </c>
    </row>
    <row r="106" spans="1:27" ht="16.5" customHeight="1">
      <c r="B106" s="324" t="s">
        <v>2922</v>
      </c>
      <c r="H106" s="322" t="s">
        <v>2745</v>
      </c>
      <c r="I106" s="324" t="s">
        <v>2923</v>
      </c>
      <c r="N106" s="322" t="s">
        <v>2745</v>
      </c>
      <c r="O106" s="324" t="s">
        <v>2924</v>
      </c>
      <c r="U106" s="322" t="s">
        <v>2745</v>
      </c>
      <c r="V106" s="324" t="s">
        <v>2925</v>
      </c>
    </row>
    <row r="107" spans="1:27" ht="16.5" customHeight="1">
      <c r="B107" s="324" t="s">
        <v>2926</v>
      </c>
      <c r="G107" s="308"/>
      <c r="H107" s="322" t="s">
        <v>2745</v>
      </c>
      <c r="I107" s="709" t="s">
        <v>2927</v>
      </c>
      <c r="J107" s="710"/>
      <c r="K107" s="710"/>
      <c r="L107" s="325"/>
      <c r="M107" s="322" t="s">
        <v>2745</v>
      </c>
      <c r="N107" s="709" t="s">
        <v>2928</v>
      </c>
      <c r="O107" s="710"/>
      <c r="P107" s="710"/>
      <c r="Q107" s="325"/>
      <c r="R107" s="322" t="s">
        <v>2745</v>
      </c>
      <c r="S107" s="709" t="s">
        <v>2929</v>
      </c>
      <c r="T107" s="710"/>
      <c r="U107" s="710"/>
      <c r="V107" s="325"/>
      <c r="W107" s="322" t="s">
        <v>2745</v>
      </c>
      <c r="X107" s="709" t="s">
        <v>2930</v>
      </c>
      <c r="Y107" s="710"/>
      <c r="Z107" s="710"/>
      <c r="AA107" s="309"/>
    </row>
    <row r="108" spans="1:27" ht="16.5" customHeight="1">
      <c r="B108" s="324" t="s">
        <v>2931</v>
      </c>
      <c r="G108" s="308" t="s">
        <v>2868</v>
      </c>
      <c r="H108" s="691" t="str">
        <f>IF(H107="☑",1,"")</f>
        <v/>
      </c>
      <c r="I108" s="691"/>
      <c r="J108" s="691"/>
      <c r="K108" s="691"/>
      <c r="L108" s="325" t="s">
        <v>2932</v>
      </c>
      <c r="M108" s="704"/>
      <c r="N108" s="704"/>
      <c r="O108" s="704"/>
      <c r="P108" s="704"/>
      <c r="Q108" s="325" t="s">
        <v>2932</v>
      </c>
      <c r="R108" s="704"/>
      <c r="S108" s="704"/>
      <c r="T108" s="704"/>
      <c r="U108" s="704"/>
      <c r="V108" s="325" t="s">
        <v>2932</v>
      </c>
      <c r="W108" s="691" t="str">
        <f>IF(W107="☑",1,"")</f>
        <v/>
      </c>
      <c r="X108" s="691"/>
      <c r="Y108" s="691"/>
      <c r="Z108" s="691"/>
      <c r="AA108" s="309" t="s">
        <v>2874</v>
      </c>
    </row>
    <row r="109" spans="1:27" ht="16.5" customHeight="1">
      <c r="B109" s="324" t="s">
        <v>2933</v>
      </c>
      <c r="G109" s="308" t="s">
        <v>2868</v>
      </c>
      <c r="H109" s="705" t="str">
        <f>IF(H107="☑",cst_wskakunin_NOBE_MENSEKI_JYUTAKU_SHINSEI,"")</f>
        <v/>
      </c>
      <c r="I109" s="705"/>
      <c r="J109" s="705"/>
      <c r="K109" s="705"/>
      <c r="L109" s="325" t="s">
        <v>2932</v>
      </c>
      <c r="M109" s="704"/>
      <c r="N109" s="704"/>
      <c r="O109" s="704"/>
      <c r="P109" s="704"/>
      <c r="Q109" s="325" t="s">
        <v>2932</v>
      </c>
      <c r="R109" s="704"/>
      <c r="S109" s="704"/>
      <c r="T109" s="704"/>
      <c r="U109" s="704"/>
      <c r="V109" s="325" t="s">
        <v>2932</v>
      </c>
      <c r="W109" s="705" t="str">
        <f>IF(W107="☑",cst_wskakunin_NOBE_MENSEKI_JYUTAKU_SHINSEI,"")</f>
        <v/>
      </c>
      <c r="X109" s="705"/>
      <c r="Y109" s="705"/>
      <c r="Z109" s="705"/>
      <c r="AA109" s="309" t="s">
        <v>2874</v>
      </c>
    </row>
    <row r="110" spans="1:27" ht="16.5" customHeight="1">
      <c r="A110" s="283"/>
      <c r="B110" s="283"/>
      <c r="C110" s="283" t="s">
        <v>2934</v>
      </c>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row>
    <row r="112" spans="1:27" ht="15" customHeight="1">
      <c r="A112" s="697" t="s">
        <v>2935</v>
      </c>
      <c r="B112" s="697"/>
      <c r="C112" s="697"/>
      <c r="D112" s="697"/>
      <c r="E112" s="697"/>
      <c r="F112" s="697"/>
      <c r="G112" s="697"/>
      <c r="H112" s="697"/>
      <c r="I112" s="697"/>
      <c r="J112" s="697"/>
      <c r="K112" s="697"/>
      <c r="L112" s="697"/>
      <c r="M112" s="697"/>
      <c r="N112" s="697"/>
      <c r="O112" s="697"/>
      <c r="P112" s="697"/>
      <c r="Q112" s="697"/>
      <c r="R112" s="697"/>
      <c r="S112" s="697"/>
      <c r="T112" s="697"/>
      <c r="U112" s="697"/>
      <c r="V112" s="697"/>
      <c r="W112" s="697"/>
      <c r="X112" s="697"/>
      <c r="Y112" s="697"/>
      <c r="Z112" s="697"/>
      <c r="AA112" s="697"/>
    </row>
    <row r="113" spans="1:27" ht="16.5" customHeight="1">
      <c r="A113" s="324" t="s">
        <v>2936</v>
      </c>
      <c r="G113" s="324" t="s">
        <v>2867</v>
      </c>
      <c r="N113" s="308" t="s">
        <v>2868</v>
      </c>
      <c r="O113" s="698"/>
      <c r="P113" s="699"/>
      <c r="Q113" s="324" t="s">
        <v>2869</v>
      </c>
      <c r="R113" s="700" t="str">
        <f>IF(O113="","",VLOOKUP(O113,工事届用主要用途区分,2,FALSE))</f>
        <v/>
      </c>
      <c r="S113" s="701"/>
      <c r="T113" s="701"/>
      <c r="U113" s="701"/>
      <c r="V113" s="701"/>
      <c r="W113" s="701"/>
      <c r="X113" s="701"/>
      <c r="Y113" s="701"/>
      <c r="Z113" s="701"/>
      <c r="AA113" s="701"/>
    </row>
    <row r="114" spans="1:27" ht="16.5" customHeight="1">
      <c r="G114" s="324" t="s">
        <v>2870</v>
      </c>
      <c r="N114" s="308" t="s">
        <v>2868</v>
      </c>
      <c r="O114" s="702"/>
      <c r="P114" s="703"/>
      <c r="Q114" s="324" t="s">
        <v>2869</v>
      </c>
      <c r="R114" s="691" t="str">
        <f>IF(O114="","",VLOOKUP(O114,工事届用主要用途区分,2,FALSE))</f>
        <v/>
      </c>
      <c r="S114" s="692"/>
      <c r="T114" s="692"/>
      <c r="U114" s="692"/>
      <c r="V114" s="692"/>
      <c r="W114" s="692"/>
      <c r="X114" s="692"/>
      <c r="Y114" s="692"/>
      <c r="Z114" s="692"/>
      <c r="AA114" s="692"/>
    </row>
    <row r="115" spans="1:27" ht="16.5" customHeight="1">
      <c r="G115" s="324" t="s">
        <v>2871</v>
      </c>
      <c r="N115" s="308" t="s">
        <v>2868</v>
      </c>
      <c r="O115" s="702"/>
      <c r="P115" s="703"/>
      <c r="Q115" s="324" t="s">
        <v>2869</v>
      </c>
      <c r="R115" s="691" t="str">
        <f>IF(O115="","",VLOOKUP(O115,工事届用主要用途区分,2,FALSE))</f>
        <v/>
      </c>
      <c r="S115" s="692"/>
      <c r="T115" s="692"/>
      <c r="U115" s="692"/>
      <c r="V115" s="692"/>
      <c r="W115" s="692"/>
      <c r="X115" s="692"/>
      <c r="Y115" s="692"/>
      <c r="Z115" s="692"/>
      <c r="AA115" s="692"/>
    </row>
    <row r="116" spans="1:27" ht="16.5" customHeight="1">
      <c r="A116" s="324" t="s">
        <v>2937</v>
      </c>
      <c r="F116" s="322" t="s">
        <v>2745</v>
      </c>
      <c r="G116" s="324" t="s">
        <v>2938</v>
      </c>
      <c r="Q116" s="322" t="s">
        <v>2745</v>
      </c>
      <c r="R116" s="324" t="s">
        <v>2939</v>
      </c>
    </row>
    <row r="117" spans="1:27" ht="16.5" customHeight="1">
      <c r="A117" s="324" t="s">
        <v>2940</v>
      </c>
      <c r="F117" s="322" t="s">
        <v>2745</v>
      </c>
      <c r="G117" s="324" t="s">
        <v>2941</v>
      </c>
      <c r="Q117" s="322" t="s">
        <v>2745</v>
      </c>
      <c r="R117" s="324" t="s">
        <v>2939</v>
      </c>
    </row>
    <row r="118" spans="1:27" ht="16.5" customHeight="1">
      <c r="A118" s="324" t="s">
        <v>2942</v>
      </c>
      <c r="J118" s="691"/>
      <c r="K118" s="692"/>
    </row>
    <row r="119" spans="1:27" ht="16.5" customHeight="1">
      <c r="A119" s="324" t="s">
        <v>2943</v>
      </c>
      <c r="J119" s="691"/>
      <c r="K119" s="692"/>
      <c r="L119" s="324" t="s">
        <v>2944</v>
      </c>
    </row>
    <row r="120" spans="1:27" ht="16.5" customHeight="1">
      <c r="A120" s="324" t="s">
        <v>2945</v>
      </c>
      <c r="H120" s="322" t="s">
        <v>2745</v>
      </c>
      <c r="I120" s="324" t="s">
        <v>2946</v>
      </c>
      <c r="L120" s="322" t="s">
        <v>2745</v>
      </c>
      <c r="M120" s="324" t="s">
        <v>2947</v>
      </c>
      <c r="P120" s="322" t="s">
        <v>2745</v>
      </c>
      <c r="Q120" s="324" t="s">
        <v>2948</v>
      </c>
    </row>
    <row r="121" spans="1:27" ht="16.5" customHeight="1">
      <c r="A121" s="324" t="s">
        <v>2949</v>
      </c>
      <c r="I121" s="693"/>
      <c r="J121" s="694"/>
      <c r="K121" s="694"/>
      <c r="L121" s="324" t="s">
        <v>2902</v>
      </c>
    </row>
    <row r="122" spans="1:27" ht="16.5" customHeight="1">
      <c r="A122" s="283" t="s">
        <v>2950</v>
      </c>
      <c r="B122" s="283"/>
      <c r="C122" s="283"/>
      <c r="D122" s="283"/>
      <c r="E122" s="283"/>
      <c r="F122" s="283"/>
      <c r="G122" s="283"/>
      <c r="H122" s="283"/>
      <c r="I122" s="695"/>
      <c r="J122" s="696"/>
      <c r="K122" s="696"/>
      <c r="L122" s="283" t="s">
        <v>2951</v>
      </c>
      <c r="M122" s="283"/>
      <c r="N122" s="283"/>
      <c r="O122" s="283"/>
      <c r="P122" s="283"/>
      <c r="Q122" s="283"/>
      <c r="R122" s="283"/>
      <c r="S122" s="283"/>
      <c r="T122" s="283"/>
      <c r="U122" s="283"/>
      <c r="V122" s="283"/>
      <c r="W122" s="283"/>
      <c r="X122" s="283"/>
      <c r="Y122" s="283"/>
      <c r="Z122" s="283"/>
      <c r="AA122" s="283"/>
    </row>
  </sheetData>
  <sheetProtection formatCells="0" formatColumns="0" formatRows="0"/>
  <mergeCells count="83">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 ref="E37:X37"/>
    <mergeCell ref="E22:AA22"/>
    <mergeCell ref="E23:L23"/>
    <mergeCell ref="E25:AA25"/>
    <mergeCell ref="E27:AA27"/>
    <mergeCell ref="E28:J28"/>
    <mergeCell ref="E29:AA29"/>
    <mergeCell ref="E30:L30"/>
    <mergeCell ref="J32:P32"/>
    <mergeCell ref="H33:I33"/>
    <mergeCell ref="I34:Z34"/>
    <mergeCell ref="E36:X36"/>
    <mergeCell ref="O64:P64"/>
    <mergeCell ref="R64:AA64"/>
    <mergeCell ref="E38:J38"/>
    <mergeCell ref="E39:Y39"/>
    <mergeCell ref="E40:L40"/>
    <mergeCell ref="A44:AA44"/>
    <mergeCell ref="K46:L46"/>
    <mergeCell ref="K47:L47"/>
    <mergeCell ref="G55:AB57"/>
    <mergeCell ref="O62:P62"/>
    <mergeCell ref="R62:AA62"/>
    <mergeCell ref="O63:P63"/>
    <mergeCell ref="R63:AA63"/>
    <mergeCell ref="I66:M66"/>
    <mergeCell ref="P66:T66"/>
    <mergeCell ref="W66:AA66"/>
    <mergeCell ref="I86:L86"/>
    <mergeCell ref="P86:S86"/>
    <mergeCell ref="W86:Z86"/>
    <mergeCell ref="I88:M88"/>
    <mergeCell ref="P88:T88"/>
    <mergeCell ref="W88:AA88"/>
    <mergeCell ref="I90:L90"/>
    <mergeCell ref="P90:S90"/>
    <mergeCell ref="W90:Z90"/>
    <mergeCell ref="I92:M92"/>
    <mergeCell ref="P92:T92"/>
    <mergeCell ref="W92:AA92"/>
    <mergeCell ref="I94:M94"/>
    <mergeCell ref="P94:T94"/>
    <mergeCell ref="W94:AA94"/>
    <mergeCell ref="N95:R95"/>
    <mergeCell ref="A97:AA97"/>
    <mergeCell ref="G99:I99"/>
    <mergeCell ref="I107:K107"/>
    <mergeCell ref="N107:P107"/>
    <mergeCell ref="S107:U107"/>
    <mergeCell ref="X107:Z107"/>
    <mergeCell ref="H108:K108"/>
    <mergeCell ref="M108:P108"/>
    <mergeCell ref="R108:U108"/>
    <mergeCell ref="W108:Z108"/>
    <mergeCell ref="H109:K109"/>
    <mergeCell ref="M109:P109"/>
    <mergeCell ref="R109:U109"/>
    <mergeCell ref="W109:Z109"/>
    <mergeCell ref="J118:K118"/>
    <mergeCell ref="J119:K119"/>
    <mergeCell ref="I121:K121"/>
    <mergeCell ref="I122:K122"/>
    <mergeCell ref="A112:AA112"/>
    <mergeCell ref="O113:P113"/>
    <mergeCell ref="R113:AA113"/>
    <mergeCell ref="O114:P114"/>
    <mergeCell ref="R114:AA114"/>
    <mergeCell ref="O115:P115"/>
    <mergeCell ref="R115:AA115"/>
  </mergeCells>
  <phoneticPr fontId="7"/>
  <dataValidations count="4">
    <dataValidation type="list" showInputMessage="1" sqref="H67:H68 V70:V77 T53 I49:I50 M49:M50 T49:T50 K51:K53 R51 H70:H77 O70:O77 O67:O68 V67:V68 V79 O79 H79 H81:H82 O81:O82 V81:V82 H84 O84 V84 N100 Q100:Q101 T100:T102 H102:H107 O102 P103 N104:N106 U104:U106 M107 R107 W107 F116:F117 Q116:Q117 H120 L120 P120" xr:uid="{C87BA6F6-F468-482D-B62A-41F0A292CF51}">
      <formula1>"□,☑"</formula1>
    </dataValidation>
    <dataValidation showInputMessage="1" showErrorMessage="1" sqref="F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F65600 JB65600 SX65600 ACT65600 AMP65600 AWL65600 BGH65600 BQD65600 BZZ65600 CJV65600 CTR65600 DDN65600 DNJ65600 DXF65600 EHB65600 EQX65600 FAT65600 FKP65600 FUL65600 GEH65600 GOD65600 GXZ65600 HHV65600 HRR65600 IBN65600 ILJ65600 IVF65600 JFB65600 JOX65600 JYT65600 KIP65600 KSL65600 LCH65600 LMD65600 LVZ65600 MFV65600 MPR65600 MZN65600 NJJ65600 NTF65600 ODB65600 OMX65600 OWT65600 PGP65600 PQL65600 QAH65600 QKD65600 QTZ65600 RDV65600 RNR65600 RXN65600 SHJ65600 SRF65600 TBB65600 TKX65600 TUT65600 UEP65600 UOL65600 UYH65600 VID65600 VRZ65600 WBV65600 WLR65600 WVN65600 F131136 JB131136 SX131136 ACT131136 AMP131136 AWL131136 BGH131136 BQD131136 BZZ131136 CJV131136 CTR131136 DDN131136 DNJ131136 DXF131136 EHB131136 EQX131136 FAT131136 FKP131136 FUL131136 GEH131136 GOD131136 GXZ131136 HHV131136 HRR131136 IBN131136 ILJ131136 IVF131136 JFB131136 JOX131136 JYT131136 KIP131136 KSL131136 LCH131136 LMD131136 LVZ131136 MFV131136 MPR131136 MZN131136 NJJ131136 NTF131136 ODB131136 OMX131136 OWT131136 PGP131136 PQL131136 QAH131136 QKD131136 QTZ131136 RDV131136 RNR131136 RXN131136 SHJ131136 SRF131136 TBB131136 TKX131136 TUT131136 UEP131136 UOL131136 UYH131136 VID131136 VRZ131136 WBV131136 WLR131136 WVN131136 F196672 JB196672 SX196672 ACT196672 AMP196672 AWL196672 BGH196672 BQD196672 BZZ196672 CJV196672 CTR196672 DDN196672 DNJ196672 DXF196672 EHB196672 EQX196672 FAT196672 FKP196672 FUL196672 GEH196672 GOD196672 GXZ196672 HHV196672 HRR196672 IBN196672 ILJ196672 IVF196672 JFB196672 JOX196672 JYT196672 KIP196672 KSL196672 LCH196672 LMD196672 LVZ196672 MFV196672 MPR196672 MZN196672 NJJ196672 NTF196672 ODB196672 OMX196672 OWT196672 PGP196672 PQL196672 QAH196672 QKD196672 QTZ196672 RDV196672 RNR196672 RXN196672 SHJ196672 SRF196672 TBB196672 TKX196672 TUT196672 UEP196672 UOL196672 UYH196672 VID196672 VRZ196672 WBV196672 WLR196672 WVN196672 F262208 JB262208 SX262208 ACT262208 AMP262208 AWL262208 BGH262208 BQD262208 BZZ262208 CJV262208 CTR262208 DDN262208 DNJ262208 DXF262208 EHB262208 EQX262208 FAT262208 FKP262208 FUL262208 GEH262208 GOD262208 GXZ262208 HHV262208 HRR262208 IBN262208 ILJ262208 IVF262208 JFB262208 JOX262208 JYT262208 KIP262208 KSL262208 LCH262208 LMD262208 LVZ262208 MFV262208 MPR262208 MZN262208 NJJ262208 NTF262208 ODB262208 OMX262208 OWT262208 PGP262208 PQL262208 QAH262208 QKD262208 QTZ262208 RDV262208 RNR262208 RXN262208 SHJ262208 SRF262208 TBB262208 TKX262208 TUT262208 UEP262208 UOL262208 UYH262208 VID262208 VRZ262208 WBV262208 WLR262208 WVN262208 F327744 JB327744 SX327744 ACT327744 AMP327744 AWL327744 BGH327744 BQD327744 BZZ327744 CJV327744 CTR327744 DDN327744 DNJ327744 DXF327744 EHB327744 EQX327744 FAT327744 FKP327744 FUL327744 GEH327744 GOD327744 GXZ327744 HHV327744 HRR327744 IBN327744 ILJ327744 IVF327744 JFB327744 JOX327744 JYT327744 KIP327744 KSL327744 LCH327744 LMD327744 LVZ327744 MFV327744 MPR327744 MZN327744 NJJ327744 NTF327744 ODB327744 OMX327744 OWT327744 PGP327744 PQL327744 QAH327744 QKD327744 QTZ327744 RDV327744 RNR327744 RXN327744 SHJ327744 SRF327744 TBB327744 TKX327744 TUT327744 UEP327744 UOL327744 UYH327744 VID327744 VRZ327744 WBV327744 WLR327744 WVN327744 F393280 JB393280 SX393280 ACT393280 AMP393280 AWL393280 BGH393280 BQD393280 BZZ393280 CJV393280 CTR393280 DDN393280 DNJ393280 DXF393280 EHB393280 EQX393280 FAT393280 FKP393280 FUL393280 GEH393280 GOD393280 GXZ393280 HHV393280 HRR393280 IBN393280 ILJ393280 IVF393280 JFB393280 JOX393280 JYT393280 KIP393280 KSL393280 LCH393280 LMD393280 LVZ393280 MFV393280 MPR393280 MZN393280 NJJ393280 NTF393280 ODB393280 OMX393280 OWT393280 PGP393280 PQL393280 QAH393280 QKD393280 QTZ393280 RDV393280 RNR393280 RXN393280 SHJ393280 SRF393280 TBB393280 TKX393280 TUT393280 UEP393280 UOL393280 UYH393280 VID393280 VRZ393280 WBV393280 WLR393280 WVN393280 F458816 JB458816 SX458816 ACT458816 AMP458816 AWL458816 BGH458816 BQD458816 BZZ458816 CJV458816 CTR458816 DDN458816 DNJ458816 DXF458816 EHB458816 EQX458816 FAT458816 FKP458816 FUL458816 GEH458816 GOD458816 GXZ458816 HHV458816 HRR458816 IBN458816 ILJ458816 IVF458816 JFB458816 JOX458816 JYT458816 KIP458816 KSL458816 LCH458816 LMD458816 LVZ458816 MFV458816 MPR458816 MZN458816 NJJ458816 NTF458816 ODB458816 OMX458816 OWT458816 PGP458816 PQL458816 QAH458816 QKD458816 QTZ458816 RDV458816 RNR458816 RXN458816 SHJ458816 SRF458816 TBB458816 TKX458816 TUT458816 UEP458816 UOL458816 UYH458816 VID458816 VRZ458816 WBV458816 WLR458816 WVN458816 F524352 JB524352 SX524352 ACT524352 AMP524352 AWL524352 BGH524352 BQD524352 BZZ524352 CJV524352 CTR524352 DDN524352 DNJ524352 DXF524352 EHB524352 EQX524352 FAT524352 FKP524352 FUL524352 GEH524352 GOD524352 GXZ524352 HHV524352 HRR524352 IBN524352 ILJ524352 IVF524352 JFB524352 JOX524352 JYT524352 KIP524352 KSL524352 LCH524352 LMD524352 LVZ524352 MFV524352 MPR524352 MZN524352 NJJ524352 NTF524352 ODB524352 OMX524352 OWT524352 PGP524352 PQL524352 QAH524352 QKD524352 QTZ524352 RDV524352 RNR524352 RXN524352 SHJ524352 SRF524352 TBB524352 TKX524352 TUT524352 UEP524352 UOL524352 UYH524352 VID524352 VRZ524352 WBV524352 WLR524352 WVN524352 F589888 JB589888 SX589888 ACT589888 AMP589888 AWL589888 BGH589888 BQD589888 BZZ589888 CJV589888 CTR589888 DDN589888 DNJ589888 DXF589888 EHB589888 EQX589888 FAT589888 FKP589888 FUL589888 GEH589888 GOD589888 GXZ589888 HHV589888 HRR589888 IBN589888 ILJ589888 IVF589888 JFB589888 JOX589888 JYT589888 KIP589888 KSL589888 LCH589888 LMD589888 LVZ589888 MFV589888 MPR589888 MZN589888 NJJ589888 NTF589888 ODB589888 OMX589888 OWT589888 PGP589888 PQL589888 QAH589888 QKD589888 QTZ589888 RDV589888 RNR589888 RXN589888 SHJ589888 SRF589888 TBB589888 TKX589888 TUT589888 UEP589888 UOL589888 UYH589888 VID589888 VRZ589888 WBV589888 WLR589888 WVN589888 F655424 JB655424 SX655424 ACT655424 AMP655424 AWL655424 BGH655424 BQD655424 BZZ655424 CJV655424 CTR655424 DDN655424 DNJ655424 DXF655424 EHB655424 EQX655424 FAT655424 FKP655424 FUL655424 GEH655424 GOD655424 GXZ655424 HHV655424 HRR655424 IBN655424 ILJ655424 IVF655424 JFB655424 JOX655424 JYT655424 KIP655424 KSL655424 LCH655424 LMD655424 LVZ655424 MFV655424 MPR655424 MZN655424 NJJ655424 NTF655424 ODB655424 OMX655424 OWT655424 PGP655424 PQL655424 QAH655424 QKD655424 QTZ655424 RDV655424 RNR655424 RXN655424 SHJ655424 SRF655424 TBB655424 TKX655424 TUT655424 UEP655424 UOL655424 UYH655424 VID655424 VRZ655424 WBV655424 WLR655424 WVN655424 F720960 JB720960 SX720960 ACT720960 AMP720960 AWL720960 BGH720960 BQD720960 BZZ720960 CJV720960 CTR720960 DDN720960 DNJ720960 DXF720960 EHB720960 EQX720960 FAT720960 FKP720960 FUL720960 GEH720960 GOD720960 GXZ720960 HHV720960 HRR720960 IBN720960 ILJ720960 IVF720960 JFB720960 JOX720960 JYT720960 KIP720960 KSL720960 LCH720960 LMD720960 LVZ720960 MFV720960 MPR720960 MZN720960 NJJ720960 NTF720960 ODB720960 OMX720960 OWT720960 PGP720960 PQL720960 QAH720960 QKD720960 QTZ720960 RDV720960 RNR720960 RXN720960 SHJ720960 SRF720960 TBB720960 TKX720960 TUT720960 UEP720960 UOL720960 UYH720960 VID720960 VRZ720960 WBV720960 WLR720960 WVN720960 F786496 JB786496 SX786496 ACT786496 AMP786496 AWL786496 BGH786496 BQD786496 BZZ786496 CJV786496 CTR786496 DDN786496 DNJ786496 DXF786496 EHB786496 EQX786496 FAT786496 FKP786496 FUL786496 GEH786496 GOD786496 GXZ786496 HHV786496 HRR786496 IBN786496 ILJ786496 IVF786496 JFB786496 JOX786496 JYT786496 KIP786496 KSL786496 LCH786496 LMD786496 LVZ786496 MFV786496 MPR786496 MZN786496 NJJ786496 NTF786496 ODB786496 OMX786496 OWT786496 PGP786496 PQL786496 QAH786496 QKD786496 QTZ786496 RDV786496 RNR786496 RXN786496 SHJ786496 SRF786496 TBB786496 TKX786496 TUT786496 UEP786496 UOL786496 UYH786496 VID786496 VRZ786496 WBV786496 WLR786496 WVN786496 F852032 JB852032 SX852032 ACT852032 AMP852032 AWL852032 BGH852032 BQD852032 BZZ852032 CJV852032 CTR852032 DDN852032 DNJ852032 DXF852032 EHB852032 EQX852032 FAT852032 FKP852032 FUL852032 GEH852032 GOD852032 GXZ852032 HHV852032 HRR852032 IBN852032 ILJ852032 IVF852032 JFB852032 JOX852032 JYT852032 KIP852032 KSL852032 LCH852032 LMD852032 LVZ852032 MFV852032 MPR852032 MZN852032 NJJ852032 NTF852032 ODB852032 OMX852032 OWT852032 PGP852032 PQL852032 QAH852032 QKD852032 QTZ852032 RDV852032 RNR852032 RXN852032 SHJ852032 SRF852032 TBB852032 TKX852032 TUT852032 UEP852032 UOL852032 UYH852032 VID852032 VRZ852032 WBV852032 WLR852032 WVN852032 F917568 JB917568 SX917568 ACT917568 AMP917568 AWL917568 BGH917568 BQD917568 BZZ917568 CJV917568 CTR917568 DDN917568 DNJ917568 DXF917568 EHB917568 EQX917568 FAT917568 FKP917568 FUL917568 GEH917568 GOD917568 GXZ917568 HHV917568 HRR917568 IBN917568 ILJ917568 IVF917568 JFB917568 JOX917568 JYT917568 KIP917568 KSL917568 LCH917568 LMD917568 LVZ917568 MFV917568 MPR917568 MZN917568 NJJ917568 NTF917568 ODB917568 OMX917568 OWT917568 PGP917568 PQL917568 QAH917568 QKD917568 QTZ917568 RDV917568 RNR917568 RXN917568 SHJ917568 SRF917568 TBB917568 TKX917568 TUT917568 UEP917568 UOL917568 UYH917568 VID917568 VRZ917568 WBV917568 WLR917568 WVN917568 F983104 JB983104 SX983104 ACT983104 AMP983104 AWL983104 BGH983104 BQD983104 BZZ983104 CJV983104 CTR983104 DDN983104 DNJ983104 DXF983104 EHB983104 EQX983104 FAT983104 FKP983104 FUL983104 GEH983104 GOD983104 GXZ983104 HHV983104 HRR983104 IBN983104 ILJ983104 IVF983104 JFB983104 JOX983104 JYT983104 KIP983104 KSL983104 LCH983104 LMD983104 LVZ983104 MFV983104 MPR983104 MZN983104 NJJ983104 NTF983104 ODB983104 OMX983104 OWT983104 PGP983104 PQL983104 QAH983104 QKD983104 QTZ983104 RDV983104 RNR983104 RXN983104 SHJ983104 SRF983104 TBB983104 TKX983104 TUT983104 UEP983104 UOL983104 UYH983104 VID983104 VRZ983104 WBV983104 WLR983104 WVN983104 K61 JG61 TC61 ACY61 AMU61 AWQ61 BGM61 BQI61 CAE61 CKA61 CTW61 DDS61 DNO61 DXK61 EHG61 ERC61 FAY61 FKU61 FUQ61 GEM61 GOI61 GYE61 HIA61 HRW61 IBS61 ILO61 IVK61 JFG61 JPC61 JYY61 KIU61 KSQ61 LCM61 LMI61 LWE61 MGA61 MPW61 MZS61 NJO61 NTK61 ODG61 ONC61 OWY61 PGU61 PQQ61 QAM61 QKI61 QUE61 REA61 RNW61 RXS61 SHO61 SRK61 TBG61 TLC61 TUY61 UEU61 UOQ61 UYM61 VII61 VSE61 WCA61 WLW61 WVS61 K65600 JG65600 TC65600 ACY65600 AMU65600 AWQ65600 BGM65600 BQI65600 CAE65600 CKA65600 CTW65600 DDS65600 DNO65600 DXK65600 EHG65600 ERC65600 FAY65600 FKU65600 FUQ65600 GEM65600 GOI65600 GYE65600 HIA65600 HRW65600 IBS65600 ILO65600 IVK65600 JFG65600 JPC65600 JYY65600 KIU65600 KSQ65600 LCM65600 LMI65600 LWE65600 MGA65600 MPW65600 MZS65600 NJO65600 NTK65600 ODG65600 ONC65600 OWY65600 PGU65600 PQQ65600 QAM65600 QKI65600 QUE65600 REA65600 RNW65600 RXS65600 SHO65600 SRK65600 TBG65600 TLC65600 TUY65600 UEU65600 UOQ65600 UYM65600 VII65600 VSE65600 WCA65600 WLW65600 WVS65600 K131136 JG131136 TC131136 ACY131136 AMU131136 AWQ131136 BGM131136 BQI131136 CAE131136 CKA131136 CTW131136 DDS131136 DNO131136 DXK131136 EHG131136 ERC131136 FAY131136 FKU131136 FUQ131136 GEM131136 GOI131136 GYE131136 HIA131136 HRW131136 IBS131136 ILO131136 IVK131136 JFG131136 JPC131136 JYY131136 KIU131136 KSQ131136 LCM131136 LMI131136 LWE131136 MGA131136 MPW131136 MZS131136 NJO131136 NTK131136 ODG131136 ONC131136 OWY131136 PGU131136 PQQ131136 QAM131136 QKI131136 QUE131136 REA131136 RNW131136 RXS131136 SHO131136 SRK131136 TBG131136 TLC131136 TUY131136 UEU131136 UOQ131136 UYM131136 VII131136 VSE131136 WCA131136 WLW131136 WVS131136 K196672 JG196672 TC196672 ACY196672 AMU196672 AWQ196672 BGM196672 BQI196672 CAE196672 CKA196672 CTW196672 DDS196672 DNO196672 DXK196672 EHG196672 ERC196672 FAY196672 FKU196672 FUQ196672 GEM196672 GOI196672 GYE196672 HIA196672 HRW196672 IBS196672 ILO196672 IVK196672 JFG196672 JPC196672 JYY196672 KIU196672 KSQ196672 LCM196672 LMI196672 LWE196672 MGA196672 MPW196672 MZS196672 NJO196672 NTK196672 ODG196672 ONC196672 OWY196672 PGU196672 PQQ196672 QAM196672 QKI196672 QUE196672 REA196672 RNW196672 RXS196672 SHO196672 SRK196672 TBG196672 TLC196672 TUY196672 UEU196672 UOQ196672 UYM196672 VII196672 VSE196672 WCA196672 WLW196672 WVS196672 K262208 JG262208 TC262208 ACY262208 AMU262208 AWQ262208 BGM262208 BQI262208 CAE262208 CKA262208 CTW262208 DDS262208 DNO262208 DXK262208 EHG262208 ERC262208 FAY262208 FKU262208 FUQ262208 GEM262208 GOI262208 GYE262208 HIA262208 HRW262208 IBS262208 ILO262208 IVK262208 JFG262208 JPC262208 JYY262208 KIU262208 KSQ262208 LCM262208 LMI262208 LWE262208 MGA262208 MPW262208 MZS262208 NJO262208 NTK262208 ODG262208 ONC262208 OWY262208 PGU262208 PQQ262208 QAM262208 QKI262208 QUE262208 REA262208 RNW262208 RXS262208 SHO262208 SRK262208 TBG262208 TLC262208 TUY262208 UEU262208 UOQ262208 UYM262208 VII262208 VSE262208 WCA262208 WLW262208 WVS262208 K327744 JG327744 TC327744 ACY327744 AMU327744 AWQ327744 BGM327744 BQI327744 CAE327744 CKA327744 CTW327744 DDS327744 DNO327744 DXK327744 EHG327744 ERC327744 FAY327744 FKU327744 FUQ327744 GEM327744 GOI327744 GYE327744 HIA327744 HRW327744 IBS327744 ILO327744 IVK327744 JFG327744 JPC327744 JYY327744 KIU327744 KSQ327744 LCM327744 LMI327744 LWE327744 MGA327744 MPW327744 MZS327744 NJO327744 NTK327744 ODG327744 ONC327744 OWY327744 PGU327744 PQQ327744 QAM327744 QKI327744 QUE327744 REA327744 RNW327744 RXS327744 SHO327744 SRK327744 TBG327744 TLC327744 TUY327744 UEU327744 UOQ327744 UYM327744 VII327744 VSE327744 WCA327744 WLW327744 WVS327744 K393280 JG393280 TC393280 ACY393280 AMU393280 AWQ393280 BGM393280 BQI393280 CAE393280 CKA393280 CTW393280 DDS393280 DNO393280 DXK393280 EHG393280 ERC393280 FAY393280 FKU393280 FUQ393280 GEM393280 GOI393280 GYE393280 HIA393280 HRW393280 IBS393280 ILO393280 IVK393280 JFG393280 JPC393280 JYY393280 KIU393280 KSQ393280 LCM393280 LMI393280 LWE393280 MGA393280 MPW393280 MZS393280 NJO393280 NTK393280 ODG393280 ONC393280 OWY393280 PGU393280 PQQ393280 QAM393280 QKI393280 QUE393280 REA393280 RNW393280 RXS393280 SHO393280 SRK393280 TBG393280 TLC393280 TUY393280 UEU393280 UOQ393280 UYM393280 VII393280 VSE393280 WCA393280 WLW393280 WVS393280 K458816 JG458816 TC458816 ACY458816 AMU458816 AWQ458816 BGM458816 BQI458816 CAE458816 CKA458816 CTW458816 DDS458816 DNO458816 DXK458816 EHG458816 ERC458816 FAY458816 FKU458816 FUQ458816 GEM458816 GOI458816 GYE458816 HIA458816 HRW458816 IBS458816 ILO458816 IVK458816 JFG458816 JPC458816 JYY458816 KIU458816 KSQ458816 LCM458816 LMI458816 LWE458816 MGA458816 MPW458816 MZS458816 NJO458816 NTK458816 ODG458816 ONC458816 OWY458816 PGU458816 PQQ458816 QAM458816 QKI458816 QUE458816 REA458816 RNW458816 RXS458816 SHO458816 SRK458816 TBG458816 TLC458816 TUY458816 UEU458816 UOQ458816 UYM458816 VII458816 VSE458816 WCA458816 WLW458816 WVS458816 K524352 JG524352 TC524352 ACY524352 AMU524352 AWQ524352 BGM524352 BQI524352 CAE524352 CKA524352 CTW524352 DDS524352 DNO524352 DXK524352 EHG524352 ERC524352 FAY524352 FKU524352 FUQ524352 GEM524352 GOI524352 GYE524352 HIA524352 HRW524352 IBS524352 ILO524352 IVK524352 JFG524352 JPC524352 JYY524352 KIU524352 KSQ524352 LCM524352 LMI524352 LWE524352 MGA524352 MPW524352 MZS524352 NJO524352 NTK524352 ODG524352 ONC524352 OWY524352 PGU524352 PQQ524352 QAM524352 QKI524352 QUE524352 REA524352 RNW524352 RXS524352 SHO524352 SRK524352 TBG524352 TLC524352 TUY524352 UEU524352 UOQ524352 UYM524352 VII524352 VSE524352 WCA524352 WLW524352 WVS524352 K589888 JG589888 TC589888 ACY589888 AMU589888 AWQ589888 BGM589888 BQI589888 CAE589888 CKA589888 CTW589888 DDS589888 DNO589888 DXK589888 EHG589888 ERC589888 FAY589888 FKU589888 FUQ589888 GEM589888 GOI589888 GYE589888 HIA589888 HRW589888 IBS589888 ILO589888 IVK589888 JFG589888 JPC589888 JYY589888 KIU589888 KSQ589888 LCM589888 LMI589888 LWE589888 MGA589888 MPW589888 MZS589888 NJO589888 NTK589888 ODG589888 ONC589888 OWY589888 PGU589888 PQQ589888 QAM589888 QKI589888 QUE589888 REA589888 RNW589888 RXS589888 SHO589888 SRK589888 TBG589888 TLC589888 TUY589888 UEU589888 UOQ589888 UYM589888 VII589888 VSE589888 WCA589888 WLW589888 WVS589888 K655424 JG655424 TC655424 ACY655424 AMU655424 AWQ655424 BGM655424 BQI655424 CAE655424 CKA655424 CTW655424 DDS655424 DNO655424 DXK655424 EHG655424 ERC655424 FAY655424 FKU655424 FUQ655424 GEM655424 GOI655424 GYE655424 HIA655424 HRW655424 IBS655424 ILO655424 IVK655424 JFG655424 JPC655424 JYY655424 KIU655424 KSQ655424 LCM655424 LMI655424 LWE655424 MGA655424 MPW655424 MZS655424 NJO655424 NTK655424 ODG655424 ONC655424 OWY655424 PGU655424 PQQ655424 QAM655424 QKI655424 QUE655424 REA655424 RNW655424 RXS655424 SHO655424 SRK655424 TBG655424 TLC655424 TUY655424 UEU655424 UOQ655424 UYM655424 VII655424 VSE655424 WCA655424 WLW655424 WVS655424 K720960 JG720960 TC720960 ACY720960 AMU720960 AWQ720960 BGM720960 BQI720960 CAE720960 CKA720960 CTW720960 DDS720960 DNO720960 DXK720960 EHG720960 ERC720960 FAY720960 FKU720960 FUQ720960 GEM720960 GOI720960 GYE720960 HIA720960 HRW720960 IBS720960 ILO720960 IVK720960 JFG720960 JPC720960 JYY720960 KIU720960 KSQ720960 LCM720960 LMI720960 LWE720960 MGA720960 MPW720960 MZS720960 NJO720960 NTK720960 ODG720960 ONC720960 OWY720960 PGU720960 PQQ720960 QAM720960 QKI720960 QUE720960 REA720960 RNW720960 RXS720960 SHO720960 SRK720960 TBG720960 TLC720960 TUY720960 UEU720960 UOQ720960 UYM720960 VII720960 VSE720960 WCA720960 WLW720960 WVS720960 K786496 JG786496 TC786496 ACY786496 AMU786496 AWQ786496 BGM786496 BQI786496 CAE786496 CKA786496 CTW786496 DDS786496 DNO786496 DXK786496 EHG786496 ERC786496 FAY786496 FKU786496 FUQ786496 GEM786496 GOI786496 GYE786496 HIA786496 HRW786496 IBS786496 ILO786496 IVK786496 JFG786496 JPC786496 JYY786496 KIU786496 KSQ786496 LCM786496 LMI786496 LWE786496 MGA786496 MPW786496 MZS786496 NJO786496 NTK786496 ODG786496 ONC786496 OWY786496 PGU786496 PQQ786496 QAM786496 QKI786496 QUE786496 REA786496 RNW786496 RXS786496 SHO786496 SRK786496 TBG786496 TLC786496 TUY786496 UEU786496 UOQ786496 UYM786496 VII786496 VSE786496 WCA786496 WLW786496 WVS786496 K852032 JG852032 TC852032 ACY852032 AMU852032 AWQ852032 BGM852032 BQI852032 CAE852032 CKA852032 CTW852032 DDS852032 DNO852032 DXK852032 EHG852032 ERC852032 FAY852032 FKU852032 FUQ852032 GEM852032 GOI852032 GYE852032 HIA852032 HRW852032 IBS852032 ILO852032 IVK852032 JFG852032 JPC852032 JYY852032 KIU852032 KSQ852032 LCM852032 LMI852032 LWE852032 MGA852032 MPW852032 MZS852032 NJO852032 NTK852032 ODG852032 ONC852032 OWY852032 PGU852032 PQQ852032 QAM852032 QKI852032 QUE852032 REA852032 RNW852032 RXS852032 SHO852032 SRK852032 TBG852032 TLC852032 TUY852032 UEU852032 UOQ852032 UYM852032 VII852032 VSE852032 WCA852032 WLW852032 WVS852032 K917568 JG917568 TC917568 ACY917568 AMU917568 AWQ917568 BGM917568 BQI917568 CAE917568 CKA917568 CTW917568 DDS917568 DNO917568 DXK917568 EHG917568 ERC917568 FAY917568 FKU917568 FUQ917568 GEM917568 GOI917568 GYE917568 HIA917568 HRW917568 IBS917568 ILO917568 IVK917568 JFG917568 JPC917568 JYY917568 KIU917568 KSQ917568 LCM917568 LMI917568 LWE917568 MGA917568 MPW917568 MZS917568 NJO917568 NTK917568 ODG917568 ONC917568 OWY917568 PGU917568 PQQ917568 QAM917568 QKI917568 QUE917568 REA917568 RNW917568 RXS917568 SHO917568 SRK917568 TBG917568 TLC917568 TUY917568 UEU917568 UOQ917568 UYM917568 VII917568 VSE917568 WCA917568 WLW917568 WVS917568 K983104 JG983104 TC983104 ACY983104 AMU983104 AWQ983104 BGM983104 BQI983104 CAE983104 CKA983104 CTW983104 DDS983104 DNO983104 DXK983104 EHG983104 ERC983104 FAY983104 FKU983104 FUQ983104 GEM983104 GOI983104 GYE983104 HIA983104 HRW983104 IBS983104 ILO983104 IVK983104 JFG983104 JPC983104 JYY983104 KIU983104 KSQ983104 LCM983104 LMI983104 LWE983104 MGA983104 MPW983104 MZS983104 NJO983104 NTK983104 ODG983104 ONC983104 OWY983104 PGU983104 PQQ983104 QAM983104 QKI983104 QUE983104 REA983104 RNW983104 RXS983104 SHO983104 SRK983104 TBG983104 TLC983104 TUY983104 UEU983104 UOQ983104 UYM983104 VII983104 VSE983104 WCA983104 WLW983104 WVS983104 P61 JL61 TH61 ADD61 AMZ61 AWV61 BGR61 BQN61 CAJ61 CKF61 CUB61 DDX61 DNT61 DXP61 EHL61 ERH61 FBD61 FKZ61 FUV61 GER61 GON61 GYJ61 HIF61 HSB61 IBX61 ILT61 IVP61 JFL61 JPH61 JZD61 KIZ61 KSV61 LCR61 LMN61 LWJ61 MGF61 MQB61 MZX61 NJT61 NTP61 ODL61 ONH61 OXD61 PGZ61 PQV61 QAR61 QKN61 QUJ61 REF61 ROB61 RXX61 SHT61 SRP61 TBL61 TLH61 TVD61 UEZ61 UOV61 UYR61 VIN61 VSJ61 WCF61 WMB61 WVX61 P65600 JL65600 TH65600 ADD65600 AMZ65600 AWV65600 BGR65600 BQN65600 CAJ65600 CKF65600 CUB65600 DDX65600 DNT65600 DXP65600 EHL65600 ERH65600 FBD65600 FKZ65600 FUV65600 GER65600 GON65600 GYJ65600 HIF65600 HSB65600 IBX65600 ILT65600 IVP65600 JFL65600 JPH65600 JZD65600 KIZ65600 KSV65600 LCR65600 LMN65600 LWJ65600 MGF65600 MQB65600 MZX65600 NJT65600 NTP65600 ODL65600 ONH65600 OXD65600 PGZ65600 PQV65600 QAR65600 QKN65600 QUJ65600 REF65600 ROB65600 RXX65600 SHT65600 SRP65600 TBL65600 TLH65600 TVD65600 UEZ65600 UOV65600 UYR65600 VIN65600 VSJ65600 WCF65600 WMB65600 WVX65600 P131136 JL131136 TH131136 ADD131136 AMZ131136 AWV131136 BGR131136 BQN131136 CAJ131136 CKF131136 CUB131136 DDX131136 DNT131136 DXP131136 EHL131136 ERH131136 FBD131136 FKZ131136 FUV131136 GER131136 GON131136 GYJ131136 HIF131136 HSB131136 IBX131136 ILT131136 IVP131136 JFL131136 JPH131136 JZD131136 KIZ131136 KSV131136 LCR131136 LMN131136 LWJ131136 MGF131136 MQB131136 MZX131136 NJT131136 NTP131136 ODL131136 ONH131136 OXD131136 PGZ131136 PQV131136 QAR131136 QKN131136 QUJ131136 REF131136 ROB131136 RXX131136 SHT131136 SRP131136 TBL131136 TLH131136 TVD131136 UEZ131136 UOV131136 UYR131136 VIN131136 VSJ131136 WCF131136 WMB131136 WVX131136 P196672 JL196672 TH196672 ADD196672 AMZ196672 AWV196672 BGR196672 BQN196672 CAJ196672 CKF196672 CUB196672 DDX196672 DNT196672 DXP196672 EHL196672 ERH196672 FBD196672 FKZ196672 FUV196672 GER196672 GON196672 GYJ196672 HIF196672 HSB196672 IBX196672 ILT196672 IVP196672 JFL196672 JPH196672 JZD196672 KIZ196672 KSV196672 LCR196672 LMN196672 LWJ196672 MGF196672 MQB196672 MZX196672 NJT196672 NTP196672 ODL196672 ONH196672 OXD196672 PGZ196672 PQV196672 QAR196672 QKN196672 QUJ196672 REF196672 ROB196672 RXX196672 SHT196672 SRP196672 TBL196672 TLH196672 TVD196672 UEZ196672 UOV196672 UYR196672 VIN196672 VSJ196672 WCF196672 WMB196672 WVX196672 P262208 JL262208 TH262208 ADD262208 AMZ262208 AWV262208 BGR262208 BQN262208 CAJ262208 CKF262208 CUB262208 DDX262208 DNT262208 DXP262208 EHL262208 ERH262208 FBD262208 FKZ262208 FUV262208 GER262208 GON262208 GYJ262208 HIF262208 HSB262208 IBX262208 ILT262208 IVP262208 JFL262208 JPH262208 JZD262208 KIZ262208 KSV262208 LCR262208 LMN262208 LWJ262208 MGF262208 MQB262208 MZX262208 NJT262208 NTP262208 ODL262208 ONH262208 OXD262208 PGZ262208 PQV262208 QAR262208 QKN262208 QUJ262208 REF262208 ROB262208 RXX262208 SHT262208 SRP262208 TBL262208 TLH262208 TVD262208 UEZ262208 UOV262208 UYR262208 VIN262208 VSJ262208 WCF262208 WMB262208 WVX262208 P327744 JL327744 TH327744 ADD327744 AMZ327744 AWV327744 BGR327744 BQN327744 CAJ327744 CKF327744 CUB327744 DDX327744 DNT327744 DXP327744 EHL327744 ERH327744 FBD327744 FKZ327744 FUV327744 GER327744 GON327744 GYJ327744 HIF327744 HSB327744 IBX327744 ILT327744 IVP327744 JFL327744 JPH327744 JZD327744 KIZ327744 KSV327744 LCR327744 LMN327744 LWJ327744 MGF327744 MQB327744 MZX327744 NJT327744 NTP327744 ODL327744 ONH327744 OXD327744 PGZ327744 PQV327744 QAR327744 QKN327744 QUJ327744 REF327744 ROB327744 RXX327744 SHT327744 SRP327744 TBL327744 TLH327744 TVD327744 UEZ327744 UOV327744 UYR327744 VIN327744 VSJ327744 WCF327744 WMB327744 WVX327744 P393280 JL393280 TH393280 ADD393280 AMZ393280 AWV393280 BGR393280 BQN393280 CAJ393280 CKF393280 CUB393280 DDX393280 DNT393280 DXP393280 EHL393280 ERH393280 FBD393280 FKZ393280 FUV393280 GER393280 GON393280 GYJ393280 HIF393280 HSB393280 IBX393280 ILT393280 IVP393280 JFL393280 JPH393280 JZD393280 KIZ393280 KSV393280 LCR393280 LMN393280 LWJ393280 MGF393280 MQB393280 MZX393280 NJT393280 NTP393280 ODL393280 ONH393280 OXD393280 PGZ393280 PQV393280 QAR393280 QKN393280 QUJ393280 REF393280 ROB393280 RXX393280 SHT393280 SRP393280 TBL393280 TLH393280 TVD393280 UEZ393280 UOV393280 UYR393280 VIN393280 VSJ393280 WCF393280 WMB393280 WVX393280 P458816 JL458816 TH458816 ADD458816 AMZ458816 AWV458816 BGR458816 BQN458816 CAJ458816 CKF458816 CUB458816 DDX458816 DNT458816 DXP458816 EHL458816 ERH458816 FBD458816 FKZ458816 FUV458816 GER458816 GON458816 GYJ458816 HIF458816 HSB458816 IBX458816 ILT458816 IVP458816 JFL458816 JPH458816 JZD458816 KIZ458816 KSV458816 LCR458816 LMN458816 LWJ458816 MGF458816 MQB458816 MZX458816 NJT458816 NTP458816 ODL458816 ONH458816 OXD458816 PGZ458816 PQV458816 QAR458816 QKN458816 QUJ458816 REF458816 ROB458816 RXX458816 SHT458816 SRP458816 TBL458816 TLH458816 TVD458816 UEZ458816 UOV458816 UYR458816 VIN458816 VSJ458816 WCF458816 WMB458816 WVX458816 P524352 JL524352 TH524352 ADD524352 AMZ524352 AWV524352 BGR524352 BQN524352 CAJ524352 CKF524352 CUB524352 DDX524352 DNT524352 DXP524352 EHL524352 ERH524352 FBD524352 FKZ524352 FUV524352 GER524352 GON524352 GYJ524352 HIF524352 HSB524352 IBX524352 ILT524352 IVP524352 JFL524352 JPH524352 JZD524352 KIZ524352 KSV524352 LCR524352 LMN524352 LWJ524352 MGF524352 MQB524352 MZX524352 NJT524352 NTP524352 ODL524352 ONH524352 OXD524352 PGZ524352 PQV524352 QAR524352 QKN524352 QUJ524352 REF524352 ROB524352 RXX524352 SHT524352 SRP524352 TBL524352 TLH524352 TVD524352 UEZ524352 UOV524352 UYR524352 VIN524352 VSJ524352 WCF524352 WMB524352 WVX524352 P589888 JL589888 TH589888 ADD589888 AMZ589888 AWV589888 BGR589888 BQN589888 CAJ589888 CKF589888 CUB589888 DDX589888 DNT589888 DXP589888 EHL589888 ERH589888 FBD589888 FKZ589888 FUV589888 GER589888 GON589888 GYJ589888 HIF589888 HSB589888 IBX589888 ILT589888 IVP589888 JFL589888 JPH589888 JZD589888 KIZ589888 KSV589888 LCR589888 LMN589888 LWJ589888 MGF589888 MQB589888 MZX589888 NJT589888 NTP589888 ODL589888 ONH589888 OXD589888 PGZ589888 PQV589888 QAR589888 QKN589888 QUJ589888 REF589888 ROB589888 RXX589888 SHT589888 SRP589888 TBL589888 TLH589888 TVD589888 UEZ589888 UOV589888 UYR589888 VIN589888 VSJ589888 WCF589888 WMB589888 WVX589888 P655424 JL655424 TH655424 ADD655424 AMZ655424 AWV655424 BGR655424 BQN655424 CAJ655424 CKF655424 CUB655424 DDX655424 DNT655424 DXP655424 EHL655424 ERH655424 FBD655424 FKZ655424 FUV655424 GER655424 GON655424 GYJ655424 HIF655424 HSB655424 IBX655424 ILT655424 IVP655424 JFL655424 JPH655424 JZD655424 KIZ655424 KSV655424 LCR655424 LMN655424 LWJ655424 MGF655424 MQB655424 MZX655424 NJT655424 NTP655424 ODL655424 ONH655424 OXD655424 PGZ655424 PQV655424 QAR655424 QKN655424 QUJ655424 REF655424 ROB655424 RXX655424 SHT655424 SRP655424 TBL655424 TLH655424 TVD655424 UEZ655424 UOV655424 UYR655424 VIN655424 VSJ655424 WCF655424 WMB655424 WVX655424 P720960 JL720960 TH720960 ADD720960 AMZ720960 AWV720960 BGR720960 BQN720960 CAJ720960 CKF720960 CUB720960 DDX720960 DNT720960 DXP720960 EHL720960 ERH720960 FBD720960 FKZ720960 FUV720960 GER720960 GON720960 GYJ720960 HIF720960 HSB720960 IBX720960 ILT720960 IVP720960 JFL720960 JPH720960 JZD720960 KIZ720960 KSV720960 LCR720960 LMN720960 LWJ720960 MGF720960 MQB720960 MZX720960 NJT720960 NTP720960 ODL720960 ONH720960 OXD720960 PGZ720960 PQV720960 QAR720960 QKN720960 QUJ720960 REF720960 ROB720960 RXX720960 SHT720960 SRP720960 TBL720960 TLH720960 TVD720960 UEZ720960 UOV720960 UYR720960 VIN720960 VSJ720960 WCF720960 WMB720960 WVX720960 P786496 JL786496 TH786496 ADD786496 AMZ786496 AWV786496 BGR786496 BQN786496 CAJ786496 CKF786496 CUB786496 DDX786496 DNT786496 DXP786496 EHL786496 ERH786496 FBD786496 FKZ786496 FUV786496 GER786496 GON786496 GYJ786496 HIF786496 HSB786496 IBX786496 ILT786496 IVP786496 JFL786496 JPH786496 JZD786496 KIZ786496 KSV786496 LCR786496 LMN786496 LWJ786496 MGF786496 MQB786496 MZX786496 NJT786496 NTP786496 ODL786496 ONH786496 OXD786496 PGZ786496 PQV786496 QAR786496 QKN786496 QUJ786496 REF786496 ROB786496 RXX786496 SHT786496 SRP786496 TBL786496 TLH786496 TVD786496 UEZ786496 UOV786496 UYR786496 VIN786496 VSJ786496 WCF786496 WMB786496 WVX786496 P852032 JL852032 TH852032 ADD852032 AMZ852032 AWV852032 BGR852032 BQN852032 CAJ852032 CKF852032 CUB852032 DDX852032 DNT852032 DXP852032 EHL852032 ERH852032 FBD852032 FKZ852032 FUV852032 GER852032 GON852032 GYJ852032 HIF852032 HSB852032 IBX852032 ILT852032 IVP852032 JFL852032 JPH852032 JZD852032 KIZ852032 KSV852032 LCR852032 LMN852032 LWJ852032 MGF852032 MQB852032 MZX852032 NJT852032 NTP852032 ODL852032 ONH852032 OXD852032 PGZ852032 PQV852032 QAR852032 QKN852032 QUJ852032 REF852032 ROB852032 RXX852032 SHT852032 SRP852032 TBL852032 TLH852032 TVD852032 UEZ852032 UOV852032 UYR852032 VIN852032 VSJ852032 WCF852032 WMB852032 WVX852032 P917568 JL917568 TH917568 ADD917568 AMZ917568 AWV917568 BGR917568 BQN917568 CAJ917568 CKF917568 CUB917568 DDX917568 DNT917568 DXP917568 EHL917568 ERH917568 FBD917568 FKZ917568 FUV917568 GER917568 GON917568 GYJ917568 HIF917568 HSB917568 IBX917568 ILT917568 IVP917568 JFL917568 JPH917568 JZD917568 KIZ917568 KSV917568 LCR917568 LMN917568 LWJ917568 MGF917568 MQB917568 MZX917568 NJT917568 NTP917568 ODL917568 ONH917568 OXD917568 PGZ917568 PQV917568 QAR917568 QKN917568 QUJ917568 REF917568 ROB917568 RXX917568 SHT917568 SRP917568 TBL917568 TLH917568 TVD917568 UEZ917568 UOV917568 UYR917568 VIN917568 VSJ917568 WCF917568 WMB917568 WVX917568 P983104 JL983104 TH983104 ADD983104 AMZ983104 AWV983104 BGR983104 BQN983104 CAJ983104 CKF983104 CUB983104 DDX983104 DNT983104 DXP983104 EHL983104 ERH983104 FBD983104 FKZ983104 FUV983104 GER983104 GON983104 GYJ983104 HIF983104 HSB983104 IBX983104 ILT983104 IVP983104 JFL983104 JPH983104 JZD983104 KIZ983104 KSV983104 LCR983104 LMN983104 LWJ983104 MGF983104 MQB983104 MZX983104 NJT983104 NTP983104 ODL983104 ONH983104 OXD983104 PGZ983104 PQV983104 QAR983104 QKN983104 QUJ983104 REF983104 ROB983104 RXX983104 SHT983104 SRP983104 TBL983104 TLH983104 TVD983104 UEZ983104 UOV983104 UYR983104 VIN983104 VSJ983104 WCF983104 WMB983104 WVX983104 U61 JQ61 TM61 ADI61 ANE61 AXA61 BGW61 BQS61 CAO61 CKK61 CUG61 DEC61 DNY61 DXU61 EHQ61 ERM61 FBI61 FLE61 FVA61 GEW61 GOS61 GYO61 HIK61 HSG61 ICC61 ILY61 IVU61 JFQ61 JPM61 JZI61 KJE61 KTA61 LCW61 LMS61 LWO61 MGK61 MQG61 NAC61 NJY61 NTU61 ODQ61 ONM61 OXI61 PHE61 PRA61 QAW61 QKS61 QUO61 REK61 ROG61 RYC61 SHY61 SRU61 TBQ61 TLM61 TVI61 UFE61 UPA61 UYW61 VIS61 VSO61 WCK61 WMG61 WWC61 U65600 JQ65600 TM65600 ADI65600 ANE65600 AXA65600 BGW65600 BQS65600 CAO65600 CKK65600 CUG65600 DEC65600 DNY65600 DXU65600 EHQ65600 ERM65600 FBI65600 FLE65600 FVA65600 GEW65600 GOS65600 GYO65600 HIK65600 HSG65600 ICC65600 ILY65600 IVU65600 JFQ65600 JPM65600 JZI65600 KJE65600 KTA65600 LCW65600 LMS65600 LWO65600 MGK65600 MQG65600 NAC65600 NJY65600 NTU65600 ODQ65600 ONM65600 OXI65600 PHE65600 PRA65600 QAW65600 QKS65600 QUO65600 REK65600 ROG65600 RYC65600 SHY65600 SRU65600 TBQ65600 TLM65600 TVI65600 UFE65600 UPA65600 UYW65600 VIS65600 VSO65600 WCK65600 WMG65600 WWC65600 U131136 JQ131136 TM131136 ADI131136 ANE131136 AXA131136 BGW131136 BQS131136 CAO131136 CKK131136 CUG131136 DEC131136 DNY131136 DXU131136 EHQ131136 ERM131136 FBI131136 FLE131136 FVA131136 GEW131136 GOS131136 GYO131136 HIK131136 HSG131136 ICC131136 ILY131136 IVU131136 JFQ131136 JPM131136 JZI131136 KJE131136 KTA131136 LCW131136 LMS131136 LWO131136 MGK131136 MQG131136 NAC131136 NJY131136 NTU131136 ODQ131136 ONM131136 OXI131136 PHE131136 PRA131136 QAW131136 QKS131136 QUO131136 REK131136 ROG131136 RYC131136 SHY131136 SRU131136 TBQ131136 TLM131136 TVI131136 UFE131136 UPA131136 UYW131136 VIS131136 VSO131136 WCK131136 WMG131136 WWC131136 U196672 JQ196672 TM196672 ADI196672 ANE196672 AXA196672 BGW196672 BQS196672 CAO196672 CKK196672 CUG196672 DEC196672 DNY196672 DXU196672 EHQ196672 ERM196672 FBI196672 FLE196672 FVA196672 GEW196672 GOS196672 GYO196672 HIK196672 HSG196672 ICC196672 ILY196672 IVU196672 JFQ196672 JPM196672 JZI196672 KJE196672 KTA196672 LCW196672 LMS196672 LWO196672 MGK196672 MQG196672 NAC196672 NJY196672 NTU196672 ODQ196672 ONM196672 OXI196672 PHE196672 PRA196672 QAW196672 QKS196672 QUO196672 REK196672 ROG196672 RYC196672 SHY196672 SRU196672 TBQ196672 TLM196672 TVI196672 UFE196672 UPA196672 UYW196672 VIS196672 VSO196672 WCK196672 WMG196672 WWC196672 U262208 JQ262208 TM262208 ADI262208 ANE262208 AXA262208 BGW262208 BQS262208 CAO262208 CKK262208 CUG262208 DEC262208 DNY262208 DXU262208 EHQ262208 ERM262208 FBI262208 FLE262208 FVA262208 GEW262208 GOS262208 GYO262208 HIK262208 HSG262208 ICC262208 ILY262208 IVU262208 JFQ262208 JPM262208 JZI262208 KJE262208 KTA262208 LCW262208 LMS262208 LWO262208 MGK262208 MQG262208 NAC262208 NJY262208 NTU262208 ODQ262208 ONM262208 OXI262208 PHE262208 PRA262208 QAW262208 QKS262208 QUO262208 REK262208 ROG262208 RYC262208 SHY262208 SRU262208 TBQ262208 TLM262208 TVI262208 UFE262208 UPA262208 UYW262208 VIS262208 VSO262208 WCK262208 WMG262208 WWC262208 U327744 JQ327744 TM327744 ADI327744 ANE327744 AXA327744 BGW327744 BQS327744 CAO327744 CKK327744 CUG327744 DEC327744 DNY327744 DXU327744 EHQ327744 ERM327744 FBI327744 FLE327744 FVA327744 GEW327744 GOS327744 GYO327744 HIK327744 HSG327744 ICC327744 ILY327744 IVU327744 JFQ327744 JPM327744 JZI327744 KJE327744 KTA327744 LCW327744 LMS327744 LWO327744 MGK327744 MQG327744 NAC327744 NJY327744 NTU327744 ODQ327744 ONM327744 OXI327744 PHE327744 PRA327744 QAW327744 QKS327744 QUO327744 REK327744 ROG327744 RYC327744 SHY327744 SRU327744 TBQ327744 TLM327744 TVI327744 UFE327744 UPA327744 UYW327744 VIS327744 VSO327744 WCK327744 WMG327744 WWC327744 U393280 JQ393280 TM393280 ADI393280 ANE393280 AXA393280 BGW393280 BQS393280 CAO393280 CKK393280 CUG393280 DEC393280 DNY393280 DXU393280 EHQ393280 ERM393280 FBI393280 FLE393280 FVA393280 GEW393280 GOS393280 GYO393280 HIK393280 HSG393280 ICC393280 ILY393280 IVU393280 JFQ393280 JPM393280 JZI393280 KJE393280 KTA393280 LCW393280 LMS393280 LWO393280 MGK393280 MQG393280 NAC393280 NJY393280 NTU393280 ODQ393280 ONM393280 OXI393280 PHE393280 PRA393280 QAW393280 QKS393280 QUO393280 REK393280 ROG393280 RYC393280 SHY393280 SRU393280 TBQ393280 TLM393280 TVI393280 UFE393280 UPA393280 UYW393280 VIS393280 VSO393280 WCK393280 WMG393280 WWC393280 U458816 JQ458816 TM458816 ADI458816 ANE458816 AXA458816 BGW458816 BQS458816 CAO458816 CKK458816 CUG458816 DEC458816 DNY458816 DXU458816 EHQ458816 ERM458816 FBI458816 FLE458816 FVA458816 GEW458816 GOS458816 GYO458816 HIK458816 HSG458816 ICC458816 ILY458816 IVU458816 JFQ458816 JPM458816 JZI458816 KJE458816 KTA458816 LCW458816 LMS458816 LWO458816 MGK458816 MQG458816 NAC458816 NJY458816 NTU458816 ODQ458816 ONM458816 OXI458816 PHE458816 PRA458816 QAW458816 QKS458816 QUO458816 REK458816 ROG458816 RYC458816 SHY458816 SRU458816 TBQ458816 TLM458816 TVI458816 UFE458816 UPA458816 UYW458816 VIS458816 VSO458816 WCK458816 WMG458816 WWC458816 U524352 JQ524352 TM524352 ADI524352 ANE524352 AXA524352 BGW524352 BQS524352 CAO524352 CKK524352 CUG524352 DEC524352 DNY524352 DXU524352 EHQ524352 ERM524352 FBI524352 FLE524352 FVA524352 GEW524352 GOS524352 GYO524352 HIK524352 HSG524352 ICC524352 ILY524352 IVU524352 JFQ524352 JPM524352 JZI524352 KJE524352 KTA524352 LCW524352 LMS524352 LWO524352 MGK524352 MQG524352 NAC524352 NJY524352 NTU524352 ODQ524352 ONM524352 OXI524352 PHE524352 PRA524352 QAW524352 QKS524352 QUO524352 REK524352 ROG524352 RYC524352 SHY524352 SRU524352 TBQ524352 TLM524352 TVI524352 UFE524352 UPA524352 UYW524352 VIS524352 VSO524352 WCK524352 WMG524352 WWC524352 U589888 JQ589888 TM589888 ADI589888 ANE589888 AXA589888 BGW589888 BQS589888 CAO589888 CKK589888 CUG589888 DEC589888 DNY589888 DXU589888 EHQ589888 ERM589888 FBI589888 FLE589888 FVA589888 GEW589888 GOS589888 GYO589888 HIK589888 HSG589888 ICC589888 ILY589888 IVU589888 JFQ589888 JPM589888 JZI589888 KJE589888 KTA589888 LCW589888 LMS589888 LWO589888 MGK589888 MQG589888 NAC589888 NJY589888 NTU589888 ODQ589888 ONM589888 OXI589888 PHE589888 PRA589888 QAW589888 QKS589888 QUO589888 REK589888 ROG589888 RYC589888 SHY589888 SRU589888 TBQ589888 TLM589888 TVI589888 UFE589888 UPA589888 UYW589888 VIS589888 VSO589888 WCK589888 WMG589888 WWC589888 U655424 JQ655424 TM655424 ADI655424 ANE655424 AXA655424 BGW655424 BQS655424 CAO655424 CKK655424 CUG655424 DEC655424 DNY655424 DXU655424 EHQ655424 ERM655424 FBI655424 FLE655424 FVA655424 GEW655424 GOS655424 GYO655424 HIK655424 HSG655424 ICC655424 ILY655424 IVU655424 JFQ655424 JPM655424 JZI655424 KJE655424 KTA655424 LCW655424 LMS655424 LWO655424 MGK655424 MQG655424 NAC655424 NJY655424 NTU655424 ODQ655424 ONM655424 OXI655424 PHE655424 PRA655424 QAW655424 QKS655424 QUO655424 REK655424 ROG655424 RYC655424 SHY655424 SRU655424 TBQ655424 TLM655424 TVI655424 UFE655424 UPA655424 UYW655424 VIS655424 VSO655424 WCK655424 WMG655424 WWC655424 U720960 JQ720960 TM720960 ADI720960 ANE720960 AXA720960 BGW720960 BQS720960 CAO720960 CKK720960 CUG720960 DEC720960 DNY720960 DXU720960 EHQ720960 ERM720960 FBI720960 FLE720960 FVA720960 GEW720960 GOS720960 GYO720960 HIK720960 HSG720960 ICC720960 ILY720960 IVU720960 JFQ720960 JPM720960 JZI720960 KJE720960 KTA720960 LCW720960 LMS720960 LWO720960 MGK720960 MQG720960 NAC720960 NJY720960 NTU720960 ODQ720960 ONM720960 OXI720960 PHE720960 PRA720960 QAW720960 QKS720960 QUO720960 REK720960 ROG720960 RYC720960 SHY720960 SRU720960 TBQ720960 TLM720960 TVI720960 UFE720960 UPA720960 UYW720960 VIS720960 VSO720960 WCK720960 WMG720960 WWC720960 U786496 JQ786496 TM786496 ADI786496 ANE786496 AXA786496 BGW786496 BQS786496 CAO786496 CKK786496 CUG786496 DEC786496 DNY786496 DXU786496 EHQ786496 ERM786496 FBI786496 FLE786496 FVA786496 GEW786496 GOS786496 GYO786496 HIK786496 HSG786496 ICC786496 ILY786496 IVU786496 JFQ786496 JPM786496 JZI786496 KJE786496 KTA786496 LCW786496 LMS786496 LWO786496 MGK786496 MQG786496 NAC786496 NJY786496 NTU786496 ODQ786496 ONM786496 OXI786496 PHE786496 PRA786496 QAW786496 QKS786496 QUO786496 REK786496 ROG786496 RYC786496 SHY786496 SRU786496 TBQ786496 TLM786496 TVI786496 UFE786496 UPA786496 UYW786496 VIS786496 VSO786496 WCK786496 WMG786496 WWC786496 U852032 JQ852032 TM852032 ADI852032 ANE852032 AXA852032 BGW852032 BQS852032 CAO852032 CKK852032 CUG852032 DEC852032 DNY852032 DXU852032 EHQ852032 ERM852032 FBI852032 FLE852032 FVA852032 GEW852032 GOS852032 GYO852032 HIK852032 HSG852032 ICC852032 ILY852032 IVU852032 JFQ852032 JPM852032 JZI852032 KJE852032 KTA852032 LCW852032 LMS852032 LWO852032 MGK852032 MQG852032 NAC852032 NJY852032 NTU852032 ODQ852032 ONM852032 OXI852032 PHE852032 PRA852032 QAW852032 QKS852032 QUO852032 REK852032 ROG852032 RYC852032 SHY852032 SRU852032 TBQ852032 TLM852032 TVI852032 UFE852032 UPA852032 UYW852032 VIS852032 VSO852032 WCK852032 WMG852032 WWC852032 U917568 JQ917568 TM917568 ADI917568 ANE917568 AXA917568 BGW917568 BQS917568 CAO917568 CKK917568 CUG917568 DEC917568 DNY917568 DXU917568 EHQ917568 ERM917568 FBI917568 FLE917568 FVA917568 GEW917568 GOS917568 GYO917568 HIK917568 HSG917568 ICC917568 ILY917568 IVU917568 JFQ917568 JPM917568 JZI917568 KJE917568 KTA917568 LCW917568 LMS917568 LWO917568 MGK917568 MQG917568 NAC917568 NJY917568 NTU917568 ODQ917568 ONM917568 OXI917568 PHE917568 PRA917568 QAW917568 QKS917568 QUO917568 REK917568 ROG917568 RYC917568 SHY917568 SRU917568 TBQ917568 TLM917568 TVI917568 UFE917568 UPA917568 UYW917568 VIS917568 VSO917568 WCK917568 WMG917568 WWC917568 U983104 JQ983104 TM983104 ADI983104 ANE983104 AXA983104 BGW983104 BQS983104 CAO983104 CKK983104 CUG983104 DEC983104 DNY983104 DXU983104 EHQ983104 ERM983104 FBI983104 FLE983104 FVA983104 GEW983104 GOS983104 GYO983104 HIK983104 HSG983104 ICC983104 ILY983104 IVU983104 JFQ983104 JPM983104 JZI983104 KJE983104 KTA983104 LCW983104 LMS983104 LWO983104 MGK983104 MQG983104 NAC983104 NJY983104 NTU983104 ODQ983104 ONM983104 OXI983104 PHE983104 PRA983104 QAW983104 QKS983104 QUO983104 REK983104 ROG983104 RYC983104 SHY983104 SRU983104 TBQ983104 TLM983104 TVI983104 UFE983104 UPA983104 UYW983104 VIS983104 VSO983104 WCK983104 WMG983104 WWC983104" xr:uid="{CFFA265D-4392-4F98-97C5-B1513DC93298}"/>
    <dataValidation type="list" allowBlank="1" showInputMessage="1" showErrorMessage="1" sqref="O62:P62 O113:P113" xr:uid="{18016498-6553-427A-9F21-9820ED4FC51E}">
      <formula1>工事届用主要用途</formula1>
    </dataValidation>
    <dataValidation type="list" allowBlank="1" showInputMessage="1" showErrorMessage="1" sqref="O63:P64 O114:P115" xr:uid="{D92C0307-00F9-4563-8717-E681DE6E4994}">
      <formula1>工事届用主要用途2</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headerFooter alignWithMargins="0"/>
  <rowBreaks count="3" manualBreakCount="3">
    <brk id="43" max="1048575" man="1"/>
    <brk id="96" max="1048575" man="1"/>
    <brk id="111" max="1048575" man="1"/>
  </rowBreaks>
  <legacyDrawing r:id="rId1"/>
  <extLst>
    <ext xmlns:x14="http://schemas.microsoft.com/office/spreadsheetml/2009/9/main" uri="{CCE6A557-97BC-4b89-ADB6-D9C93CAAB3DF}">
      <x14:dataValidations xmlns:xm="http://schemas.microsoft.com/office/excel/2006/main" count="1">
        <x14:dataValidation type="list" showInputMessage="1" showErrorMessage="1" xr:uid="{39C960ED-97F8-4DC8-8C9C-7DD21919F218}">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02B-2621-4123-90B9-7F56F5C26E7A}">
  <dimension ref="A1:I54"/>
  <sheetViews>
    <sheetView zoomScaleNormal="100" workbookViewId="0">
      <selection sqref="A1:I2"/>
    </sheetView>
  </sheetViews>
  <sheetFormatPr defaultRowHeight="13.5"/>
  <cols>
    <col min="1" max="1" width="9" style="288" customWidth="1"/>
    <col min="2" max="16384" width="9" style="288"/>
  </cols>
  <sheetData>
    <row r="1" spans="1:9">
      <c r="A1" s="744" t="s">
        <v>2952</v>
      </c>
      <c r="B1" s="744"/>
      <c r="C1" s="744"/>
      <c r="D1" s="744"/>
      <c r="E1" s="744"/>
      <c r="F1" s="744"/>
      <c r="G1" s="744"/>
      <c r="H1" s="744"/>
      <c r="I1" s="744"/>
    </row>
    <row r="2" spans="1:9">
      <c r="A2" s="745"/>
      <c r="B2" s="745"/>
      <c r="C2" s="745"/>
      <c r="D2" s="745"/>
      <c r="E2" s="745"/>
      <c r="F2" s="745"/>
      <c r="G2" s="745"/>
      <c r="H2" s="745"/>
      <c r="I2" s="745"/>
    </row>
    <row r="3" spans="1:9" ht="18.75" customHeight="1">
      <c r="A3" s="302" t="s">
        <v>2953</v>
      </c>
    </row>
    <row r="23" spans="1:9">
      <c r="A23" s="301"/>
      <c r="B23" s="301"/>
      <c r="C23" s="301"/>
      <c r="D23" s="301"/>
      <c r="E23" s="301"/>
      <c r="F23" s="301"/>
      <c r="G23" s="301"/>
      <c r="H23" s="301"/>
      <c r="I23" s="301"/>
    </row>
    <row r="24" spans="1:9" ht="18.75" customHeight="1">
      <c r="A24" s="302" t="s">
        <v>2954</v>
      </c>
    </row>
    <row r="54" spans="1:9">
      <c r="A54" s="301"/>
      <c r="B54" s="301"/>
      <c r="C54" s="301"/>
      <c r="D54" s="301"/>
      <c r="E54" s="301"/>
      <c r="F54" s="301"/>
      <c r="G54" s="301"/>
      <c r="H54" s="301"/>
      <c r="I54" s="301"/>
    </row>
  </sheetData>
  <mergeCells count="1">
    <mergeCell ref="A1:I2"/>
  </mergeCells>
  <phoneticPr fontId="7"/>
  <printOptions horizontalCentered="1"/>
  <pageMargins left="0.70866141732283472" right="0.70866141732283472" top="0.74803149606299213" bottom="0.74803149606299213" header="0.31496062992125984" footer="0.31496062992125984"/>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3A25B-E887-4D13-80AF-C5616B02AF6D}">
  <dimension ref="A1:V34"/>
  <sheetViews>
    <sheetView zoomScaleNormal="100" workbookViewId="0">
      <selection activeCell="W1" sqref="W1"/>
    </sheetView>
  </sheetViews>
  <sheetFormatPr defaultRowHeight="13.5"/>
  <cols>
    <col min="1" max="22" width="3.625" style="7" customWidth="1"/>
    <col min="23" max="23" width="9" style="7" customWidth="1"/>
    <col min="24" max="16384" width="9" style="7"/>
  </cols>
  <sheetData>
    <row r="1" spans="1:22" ht="18.75">
      <c r="A1" s="752" t="s">
        <v>7</v>
      </c>
      <c r="B1" s="752"/>
      <c r="C1" s="752"/>
      <c r="D1" s="752"/>
      <c r="E1" s="752"/>
      <c r="F1" s="752"/>
      <c r="G1" s="752"/>
      <c r="H1" s="752"/>
      <c r="I1" s="752"/>
      <c r="J1" s="752"/>
      <c r="K1" s="752"/>
      <c r="L1" s="752"/>
      <c r="M1" s="752"/>
      <c r="N1" s="752"/>
      <c r="O1" s="752"/>
      <c r="P1" s="752"/>
      <c r="Q1" s="752"/>
      <c r="R1" s="752"/>
      <c r="S1" s="752"/>
      <c r="T1" s="752"/>
      <c r="U1" s="752"/>
      <c r="V1" s="752"/>
    </row>
    <row r="2" spans="1:22">
      <c r="A2" s="286"/>
      <c r="B2" s="286"/>
      <c r="C2" s="286"/>
      <c r="D2" s="286"/>
      <c r="E2" s="286"/>
      <c r="F2" s="286"/>
      <c r="G2" s="286"/>
      <c r="H2" s="286"/>
      <c r="I2" s="286"/>
      <c r="J2" s="286"/>
      <c r="K2" s="286"/>
      <c r="L2" s="286"/>
      <c r="M2" s="286"/>
      <c r="N2" s="286"/>
      <c r="O2" s="286"/>
      <c r="P2" s="286"/>
      <c r="Q2" s="286"/>
      <c r="R2" s="286"/>
      <c r="S2" s="286"/>
      <c r="T2" s="286"/>
      <c r="U2" s="286"/>
      <c r="V2" s="286"/>
    </row>
    <row r="3" spans="1:22">
      <c r="A3" s="286" t="s">
        <v>2955</v>
      </c>
      <c r="B3" s="286"/>
      <c r="C3" s="286"/>
      <c r="D3" s="286"/>
      <c r="E3" s="286"/>
      <c r="F3" s="286"/>
      <c r="G3" s="286"/>
      <c r="H3" s="286"/>
      <c r="I3" s="286"/>
      <c r="J3" s="286"/>
      <c r="K3" s="286"/>
      <c r="L3" s="286"/>
      <c r="M3" s="286"/>
      <c r="N3" s="286"/>
      <c r="O3" s="286"/>
      <c r="P3" s="286"/>
      <c r="Q3" s="286"/>
      <c r="R3" s="286"/>
      <c r="S3" s="286"/>
      <c r="T3" s="286"/>
      <c r="U3" s="286"/>
      <c r="V3" s="286"/>
    </row>
    <row r="4" spans="1:22">
      <c r="A4" s="286"/>
      <c r="B4" s="286" t="s">
        <v>2956</v>
      </c>
      <c r="C4" s="286"/>
      <c r="D4" s="286"/>
      <c r="E4" s="286"/>
      <c r="F4" s="749" t="str">
        <f>cst_wsflat35_dairi1_POST&amp;" "&amp;cst_wskakunin_dairi1_NAME</f>
        <v xml:space="preserve"> 現場　猫</v>
      </c>
      <c r="G4" s="749"/>
      <c r="H4" s="749"/>
      <c r="I4" s="749"/>
      <c r="J4" s="749"/>
      <c r="K4" s="749"/>
      <c r="L4" s="749"/>
      <c r="M4" s="749"/>
      <c r="N4" s="749"/>
      <c r="O4" s="749"/>
      <c r="P4" s="749"/>
      <c r="Q4" s="749"/>
      <c r="R4" s="749"/>
      <c r="S4" s="749"/>
      <c r="T4" s="749"/>
      <c r="U4" s="749"/>
      <c r="V4" s="286"/>
    </row>
    <row r="5" spans="1:22">
      <c r="A5" s="286"/>
      <c r="B5" s="286"/>
      <c r="C5" s="286"/>
      <c r="D5" s="286" t="s">
        <v>2868</v>
      </c>
      <c r="E5" s="319" t="str">
        <f>IF(cst_wskakunin_dairi1_SIKAKU="一級","■","□")</f>
        <v>■</v>
      </c>
      <c r="F5" s="286" t="s">
        <v>2957</v>
      </c>
      <c r="G5" s="286"/>
      <c r="H5" s="286"/>
      <c r="I5" s="319" t="str">
        <f>IF(cst_wskakunin_dairi1_SIKAKU="二級","■","□")</f>
        <v>□</v>
      </c>
      <c r="J5" s="286" t="s">
        <v>2958</v>
      </c>
      <c r="K5" s="286"/>
      <c r="L5" s="286"/>
      <c r="M5" s="319" t="str">
        <f>IF(cst_wskakunin_dairi1_SIKAKU="木造","■","□")</f>
        <v>□</v>
      </c>
      <c r="N5" s="286" t="s">
        <v>2959</v>
      </c>
      <c r="O5" s="286"/>
      <c r="P5" s="286"/>
      <c r="Q5" s="319" t="str">
        <f>IF(cst_wskakunin_dairi1_SIKAKU="無資格","■","□")</f>
        <v>□</v>
      </c>
      <c r="R5" s="286" t="s">
        <v>1668</v>
      </c>
      <c r="S5" s="286"/>
      <c r="T5" s="286" t="s">
        <v>2869</v>
      </c>
      <c r="U5" s="286"/>
      <c r="V5" s="286"/>
    </row>
    <row r="6" spans="1:22">
      <c r="A6" s="286"/>
      <c r="B6" s="286" t="s">
        <v>2960</v>
      </c>
      <c r="C6" s="286"/>
      <c r="D6" s="286"/>
      <c r="E6" s="286"/>
      <c r="F6" s="749" t="str">
        <f>cst_wskakunin_dairi1_JIMU_NAME</f>
        <v>猫建築事務所</v>
      </c>
      <c r="G6" s="749"/>
      <c r="H6" s="749"/>
      <c r="I6" s="749"/>
      <c r="J6" s="749"/>
      <c r="K6" s="749"/>
      <c r="L6" s="749"/>
      <c r="M6" s="749"/>
      <c r="N6" s="749"/>
      <c r="O6" s="749"/>
      <c r="P6" s="749"/>
      <c r="Q6" s="749"/>
      <c r="R6" s="749"/>
      <c r="S6" s="749"/>
      <c r="T6" s="749"/>
      <c r="U6" s="749"/>
      <c r="V6" s="286"/>
    </row>
    <row r="7" spans="1:22">
      <c r="A7" s="286"/>
      <c r="B7" s="286" t="s">
        <v>2961</v>
      </c>
      <c r="C7" s="286"/>
      <c r="D7" s="286"/>
      <c r="E7" s="286"/>
      <c r="F7" s="749" t="str">
        <f>cst_wskakunin_dairi1__address</f>
        <v>京都府京都市中京区道場町1</v>
      </c>
      <c r="G7" s="749"/>
      <c r="H7" s="749"/>
      <c r="I7" s="749"/>
      <c r="J7" s="749"/>
      <c r="K7" s="749"/>
      <c r="L7" s="749"/>
      <c r="M7" s="749"/>
      <c r="N7" s="749"/>
      <c r="O7" s="749"/>
      <c r="P7" s="749"/>
      <c r="Q7" s="749"/>
      <c r="R7" s="749"/>
      <c r="S7" s="749"/>
      <c r="T7" s="749"/>
      <c r="U7" s="749"/>
      <c r="V7" s="286"/>
    </row>
    <row r="8" spans="1:22">
      <c r="A8" s="286"/>
      <c r="B8" s="286" t="s">
        <v>2962</v>
      </c>
      <c r="C8" s="286"/>
      <c r="D8" s="286"/>
      <c r="E8" s="286"/>
      <c r="F8" s="746" t="str">
        <f>cst_wskakunin_dairi1_TEL</f>
        <v>075-000-0000</v>
      </c>
      <c r="G8" s="746"/>
      <c r="H8" s="746"/>
      <c r="I8" s="746"/>
      <c r="J8" s="746"/>
      <c r="K8" s="746"/>
      <c r="L8" s="746"/>
      <c r="M8" s="746"/>
      <c r="N8" s="746"/>
      <c r="O8" s="746"/>
      <c r="P8" s="746"/>
      <c r="Q8" s="746"/>
      <c r="R8" s="746"/>
      <c r="S8" s="746"/>
      <c r="T8" s="746"/>
      <c r="U8" s="746"/>
      <c r="V8" s="286"/>
    </row>
    <row r="9" spans="1:22">
      <c r="A9" s="286"/>
      <c r="B9" s="286"/>
      <c r="C9" s="286"/>
      <c r="D9" s="286"/>
      <c r="E9" s="286"/>
      <c r="F9" s="286"/>
      <c r="G9" s="286"/>
      <c r="H9" s="286"/>
      <c r="I9" s="286"/>
      <c r="J9" s="286"/>
      <c r="K9" s="286"/>
      <c r="L9" s="286"/>
      <c r="M9" s="286"/>
      <c r="N9" s="286"/>
      <c r="O9" s="286"/>
      <c r="P9" s="286"/>
      <c r="Q9" s="286"/>
      <c r="R9" s="286"/>
      <c r="S9" s="286"/>
      <c r="T9" s="286"/>
      <c r="U9" s="286"/>
      <c r="V9" s="286"/>
    </row>
    <row r="10" spans="1:22">
      <c r="A10" s="286"/>
      <c r="B10" s="286"/>
      <c r="C10" s="286"/>
      <c r="D10" s="286"/>
      <c r="E10" s="286"/>
      <c r="F10" s="286"/>
      <c r="G10" s="286"/>
      <c r="H10" s="286"/>
      <c r="I10" s="286"/>
      <c r="J10" s="286"/>
      <c r="K10" s="286"/>
      <c r="L10" s="286"/>
      <c r="M10" s="286"/>
      <c r="N10" s="286"/>
      <c r="O10" s="286"/>
      <c r="P10" s="286"/>
      <c r="Q10" s="286"/>
      <c r="R10" s="286"/>
      <c r="S10" s="286"/>
      <c r="T10" s="286"/>
      <c r="U10" s="286"/>
      <c r="V10" s="286"/>
    </row>
    <row r="11" spans="1:22">
      <c r="A11" s="750" t="s">
        <v>2963</v>
      </c>
      <c r="B11" s="750"/>
      <c r="C11" s="750"/>
      <c r="D11" s="750"/>
      <c r="E11" s="750"/>
      <c r="F11" s="750"/>
      <c r="G11" s="750"/>
      <c r="H11" s="750"/>
      <c r="I11" s="750"/>
      <c r="J11" s="750"/>
      <c r="K11" s="750"/>
      <c r="L11" s="750"/>
      <c r="M11" s="750"/>
      <c r="N11" s="750"/>
      <c r="O11" s="750"/>
      <c r="P11" s="750"/>
      <c r="Q11" s="750"/>
      <c r="R11" s="750"/>
      <c r="S11" s="750"/>
      <c r="T11" s="750"/>
      <c r="U11" s="750"/>
      <c r="V11" s="753"/>
    </row>
    <row r="12" spans="1:22">
      <c r="A12" s="750" t="s">
        <v>2964</v>
      </c>
      <c r="B12" s="750"/>
      <c r="C12" s="750"/>
      <c r="D12" s="750"/>
      <c r="E12" s="750"/>
      <c r="F12" s="750"/>
      <c r="G12" s="750"/>
      <c r="H12" s="750"/>
      <c r="I12" s="750"/>
      <c r="J12" s="750"/>
      <c r="K12" s="750"/>
      <c r="L12" s="750"/>
      <c r="M12" s="750"/>
      <c r="N12" s="750"/>
      <c r="O12" s="750"/>
      <c r="P12" s="750"/>
      <c r="Q12" s="750"/>
      <c r="R12" s="750"/>
      <c r="S12" s="750"/>
      <c r="T12" s="750"/>
      <c r="U12" s="750"/>
      <c r="V12" s="286"/>
    </row>
    <row r="13" spans="1:22">
      <c r="A13" s="286"/>
      <c r="B13" s="286"/>
      <c r="C13" s="286"/>
      <c r="D13" s="286"/>
      <c r="E13" s="286"/>
      <c r="F13" s="286"/>
      <c r="G13" s="286"/>
      <c r="H13" s="286"/>
      <c r="I13" s="286"/>
      <c r="J13" s="286"/>
      <c r="K13" s="286"/>
      <c r="L13" s="286"/>
      <c r="M13" s="286"/>
      <c r="N13" s="286"/>
      <c r="O13" s="286"/>
      <c r="P13" s="286"/>
      <c r="Q13" s="286"/>
      <c r="R13" s="286"/>
      <c r="S13" s="286"/>
      <c r="T13" s="286"/>
      <c r="U13" s="286"/>
      <c r="V13" s="286"/>
    </row>
    <row r="14" spans="1:22">
      <c r="A14" s="286"/>
      <c r="B14" s="312"/>
      <c r="C14" s="286"/>
      <c r="D14" s="286"/>
      <c r="E14" s="286"/>
      <c r="F14" s="286"/>
      <c r="G14" s="286"/>
      <c r="H14" s="286"/>
      <c r="I14" s="286"/>
      <c r="J14" s="286"/>
      <c r="K14" s="286"/>
      <c r="L14" s="286"/>
      <c r="M14" s="286"/>
      <c r="N14" s="286"/>
      <c r="O14" s="286"/>
      <c r="P14" s="286"/>
      <c r="Q14" s="286"/>
      <c r="R14" s="286"/>
      <c r="S14" s="286"/>
      <c r="T14" s="286"/>
      <c r="U14" s="286"/>
      <c r="V14" s="286"/>
    </row>
    <row r="15" spans="1:22">
      <c r="A15" s="286"/>
      <c r="B15" s="313">
        <v>1</v>
      </c>
      <c r="C15" s="286" t="s">
        <v>1719</v>
      </c>
      <c r="D15" s="286"/>
      <c r="E15" s="286"/>
      <c r="F15" s="747" t="str">
        <f>cst_wskakunin_BUILD__address</f>
        <v>大阪府茨木市山手台2-2-2</v>
      </c>
      <c r="G15" s="747"/>
      <c r="H15" s="747"/>
      <c r="I15" s="747"/>
      <c r="J15" s="747"/>
      <c r="K15" s="747"/>
      <c r="L15" s="747"/>
      <c r="M15" s="747"/>
      <c r="N15" s="747"/>
      <c r="O15" s="747"/>
      <c r="P15" s="747"/>
      <c r="Q15" s="747"/>
      <c r="R15" s="747"/>
      <c r="S15" s="747"/>
      <c r="T15" s="747"/>
      <c r="U15" s="747"/>
      <c r="V15" s="286"/>
    </row>
    <row r="16" spans="1:22">
      <c r="A16" s="286"/>
      <c r="B16" s="313">
        <v>2</v>
      </c>
      <c r="C16" s="286" t="s">
        <v>1650</v>
      </c>
      <c r="D16" s="286"/>
      <c r="E16" s="286"/>
      <c r="F16" s="747" t="str">
        <f>cst_wskakunin_YOUTO</f>
        <v/>
      </c>
      <c r="G16" s="747"/>
      <c r="H16" s="747"/>
      <c r="I16" s="747"/>
      <c r="J16" s="747"/>
      <c r="K16" s="747"/>
      <c r="L16" s="747"/>
      <c r="M16" s="747"/>
      <c r="N16" s="747"/>
      <c r="O16" s="747"/>
      <c r="P16" s="747"/>
      <c r="Q16" s="747"/>
      <c r="R16" s="747"/>
      <c r="S16" s="747"/>
      <c r="T16" s="747"/>
      <c r="U16" s="747"/>
      <c r="V16" s="286"/>
    </row>
    <row r="17" spans="1:22">
      <c r="A17" s="286"/>
      <c r="B17" s="313">
        <v>3</v>
      </c>
      <c r="C17" s="286" t="s">
        <v>1670</v>
      </c>
      <c r="D17" s="286"/>
      <c r="E17" s="286"/>
      <c r="F17" s="319" t="str">
        <f>cst_wskakunin_KOUJI_SINTIKU_box</f>
        <v>■</v>
      </c>
      <c r="G17" s="286" t="s">
        <v>1879</v>
      </c>
      <c r="H17" s="286"/>
      <c r="I17" s="319" t="str">
        <f>cst_wskakunin_KOUJI_ZOUTIKU_box</f>
        <v>□</v>
      </c>
      <c r="J17" s="286" t="s">
        <v>1883</v>
      </c>
      <c r="K17" s="286"/>
      <c r="L17" s="319" t="str">
        <f>cst_wskakunin_KOUJI_KAITIKU_box</f>
        <v>□</v>
      </c>
      <c r="M17" s="286" t="s">
        <v>1886</v>
      </c>
      <c r="N17" s="286"/>
      <c r="O17" s="319" t="str">
        <f>cst_wskakunin_KOUJI_ITEN_box</f>
        <v>□</v>
      </c>
      <c r="P17" s="286" t="s">
        <v>1889</v>
      </c>
      <c r="Q17" s="286"/>
      <c r="R17" s="286"/>
      <c r="S17" s="286"/>
      <c r="T17" s="286"/>
      <c r="U17" s="286"/>
      <c r="V17" s="286"/>
    </row>
    <row r="18" spans="1:22">
      <c r="A18" s="286"/>
      <c r="B18" s="287"/>
      <c r="C18" s="286"/>
      <c r="D18" s="286"/>
      <c r="E18" s="286"/>
      <c r="F18" s="319" t="str">
        <f>cst_wskakunin_KOUJI_YOUTOHENKOU_box</f>
        <v>□</v>
      </c>
      <c r="G18" s="286" t="s">
        <v>1892</v>
      </c>
      <c r="H18" s="286"/>
      <c r="I18" s="286"/>
      <c r="J18" s="319" t="str">
        <f>cst_wskakunin_KOUJI_DAI_SYUUZEN_box</f>
        <v>□</v>
      </c>
      <c r="K18" s="286" t="s">
        <v>1896</v>
      </c>
      <c r="L18" s="286"/>
      <c r="M18" s="286"/>
      <c r="N18" s="286"/>
      <c r="O18" s="319" t="str">
        <f>cst_wskakunin_KOUJI_DAI_MOYOUGAE_box</f>
        <v>□</v>
      </c>
      <c r="P18" s="286" t="s">
        <v>1899</v>
      </c>
      <c r="Q18" s="286"/>
      <c r="R18" s="286"/>
      <c r="S18" s="286"/>
      <c r="T18" s="286"/>
      <c r="U18" s="286"/>
      <c r="V18" s="286"/>
    </row>
    <row r="19" spans="1:22">
      <c r="A19" s="286"/>
      <c r="B19" s="313">
        <v>4</v>
      </c>
      <c r="C19" s="286" t="s">
        <v>2965</v>
      </c>
      <c r="D19" s="286"/>
      <c r="E19" s="286"/>
      <c r="F19" s="286"/>
      <c r="G19" s="286"/>
      <c r="H19" s="286"/>
      <c r="I19" s="286"/>
      <c r="J19" s="286"/>
      <c r="K19" s="286"/>
      <c r="L19" s="286"/>
      <c r="M19" s="286"/>
      <c r="N19" s="286"/>
      <c r="O19" s="286"/>
      <c r="P19" s="286"/>
      <c r="Q19" s="286"/>
      <c r="R19" s="286"/>
      <c r="S19" s="286"/>
      <c r="T19" s="286"/>
      <c r="U19" s="286"/>
      <c r="V19" s="286"/>
    </row>
    <row r="20" spans="1:22">
      <c r="A20" s="286"/>
      <c r="B20" s="286"/>
      <c r="C20" s="286"/>
      <c r="D20" s="321" t="s">
        <v>2745</v>
      </c>
      <c r="E20" s="286" t="s">
        <v>2966</v>
      </c>
      <c r="F20" s="286"/>
      <c r="G20" s="286"/>
      <c r="H20" s="286"/>
      <c r="I20" s="286"/>
      <c r="J20" s="286"/>
      <c r="K20" s="286"/>
      <c r="L20" s="286"/>
      <c r="M20" s="321" t="s">
        <v>2745</v>
      </c>
      <c r="N20" s="286" t="s">
        <v>2967</v>
      </c>
      <c r="O20" s="286"/>
      <c r="P20" s="286"/>
      <c r="Q20" s="286"/>
      <c r="R20" s="286"/>
      <c r="S20" s="286"/>
      <c r="T20" s="286"/>
      <c r="U20" s="286"/>
      <c r="V20" s="286"/>
    </row>
    <row r="21" spans="1:22">
      <c r="A21" s="286"/>
      <c r="B21" s="286"/>
      <c r="C21" s="286"/>
      <c r="D21" s="321" t="s">
        <v>2745</v>
      </c>
      <c r="E21" s="286" t="s">
        <v>2968</v>
      </c>
      <c r="F21" s="286"/>
      <c r="G21" s="286"/>
      <c r="H21" s="286"/>
      <c r="I21" s="286"/>
      <c r="J21" s="286"/>
      <c r="K21" s="286"/>
      <c r="L21" s="286"/>
      <c r="M21" s="321" t="s">
        <v>2745</v>
      </c>
      <c r="N21" s="286"/>
      <c r="O21" s="286"/>
      <c r="P21" s="286"/>
      <c r="Q21" s="286"/>
      <c r="R21" s="286"/>
      <c r="S21" s="286"/>
      <c r="T21" s="286"/>
      <c r="U21" s="286"/>
      <c r="V21" s="286"/>
    </row>
    <row r="22" spans="1:22">
      <c r="A22" s="286"/>
      <c r="B22" s="286"/>
      <c r="C22" s="286"/>
      <c r="D22" s="321" t="s">
        <v>2745</v>
      </c>
      <c r="E22" s="286" t="s">
        <v>2969</v>
      </c>
      <c r="F22" s="286"/>
      <c r="G22" s="286"/>
      <c r="H22" s="286"/>
      <c r="I22" s="286"/>
      <c r="J22" s="286"/>
      <c r="K22" s="286"/>
      <c r="L22" s="286"/>
      <c r="M22" s="321" t="s">
        <v>2745</v>
      </c>
      <c r="N22" s="286" t="s">
        <v>2970</v>
      </c>
      <c r="O22" s="286"/>
      <c r="P22" s="286"/>
      <c r="Q22" s="286"/>
      <c r="R22" s="286"/>
      <c r="S22" s="286"/>
      <c r="T22" s="286"/>
      <c r="U22" s="286"/>
      <c r="V22" s="286"/>
    </row>
    <row r="23" spans="1:22">
      <c r="A23" s="286"/>
      <c r="B23" s="286"/>
      <c r="C23" s="286"/>
      <c r="D23" s="321" t="s">
        <v>2745</v>
      </c>
      <c r="E23" s="286" t="s">
        <v>2971</v>
      </c>
      <c r="F23" s="286"/>
      <c r="G23" s="286"/>
      <c r="H23" s="286"/>
      <c r="I23" s="286"/>
      <c r="J23" s="286"/>
      <c r="K23" s="286"/>
      <c r="L23" s="286"/>
      <c r="M23" s="321" t="s">
        <v>2745</v>
      </c>
      <c r="N23" s="286" t="s">
        <v>2972</v>
      </c>
      <c r="O23" s="286"/>
      <c r="P23" s="286"/>
      <c r="Q23" s="286"/>
      <c r="R23" s="286"/>
      <c r="S23" s="286"/>
      <c r="T23" s="286"/>
      <c r="U23" s="286"/>
      <c r="V23" s="286"/>
    </row>
    <row r="24" spans="1:22">
      <c r="A24" s="286"/>
      <c r="B24" s="286"/>
      <c r="C24" s="286"/>
      <c r="D24" s="321" t="s">
        <v>2745</v>
      </c>
      <c r="E24" s="286" t="s">
        <v>2973</v>
      </c>
      <c r="F24" s="286"/>
      <c r="G24" s="286"/>
      <c r="H24" s="286"/>
      <c r="I24" s="286"/>
      <c r="J24" s="286"/>
      <c r="K24" s="286"/>
      <c r="L24" s="286"/>
      <c r="M24" s="321" t="s">
        <v>2745</v>
      </c>
      <c r="N24" s="286" t="s">
        <v>2974</v>
      </c>
      <c r="O24" s="286"/>
      <c r="P24" s="286"/>
      <c r="Q24" s="286"/>
      <c r="R24" s="286"/>
      <c r="S24" s="286"/>
      <c r="T24" s="286"/>
      <c r="U24" s="286"/>
      <c r="V24" s="286"/>
    </row>
    <row r="25" spans="1:22">
      <c r="A25" s="286"/>
      <c r="B25" s="286"/>
      <c r="C25" s="286"/>
      <c r="D25" s="321" t="s">
        <v>2745</v>
      </c>
      <c r="E25" s="286" t="s">
        <v>2975</v>
      </c>
      <c r="F25" s="286"/>
      <c r="G25" s="286"/>
      <c r="H25" s="286"/>
      <c r="I25" s="286"/>
      <c r="J25" s="286"/>
      <c r="K25" s="286"/>
      <c r="L25" s="286"/>
      <c r="M25" s="321" t="s">
        <v>2745</v>
      </c>
      <c r="N25" s="286" t="s">
        <v>2976</v>
      </c>
      <c r="O25" s="286"/>
      <c r="P25" s="286"/>
      <c r="Q25" s="286"/>
      <c r="R25" s="286"/>
      <c r="S25" s="286"/>
      <c r="T25" s="286"/>
      <c r="U25" s="286"/>
      <c r="V25" s="286"/>
    </row>
    <row r="26" spans="1:22">
      <c r="A26" s="286"/>
      <c r="B26" s="286"/>
      <c r="C26" s="286"/>
      <c r="D26" s="321" t="s">
        <v>2745</v>
      </c>
      <c r="E26" s="286" t="s">
        <v>2977</v>
      </c>
      <c r="F26" s="286"/>
      <c r="G26" s="286"/>
      <c r="H26" s="286"/>
      <c r="I26" s="286"/>
      <c r="J26" s="286"/>
      <c r="K26" s="286"/>
      <c r="L26" s="286"/>
      <c r="M26" s="286"/>
      <c r="N26" s="286"/>
      <c r="O26" s="286"/>
      <c r="P26" s="286"/>
      <c r="Q26" s="286"/>
      <c r="R26" s="286"/>
      <c r="S26" s="286"/>
      <c r="T26" s="286"/>
      <c r="U26" s="286"/>
      <c r="V26" s="286"/>
    </row>
    <row r="27" spans="1:22">
      <c r="A27" s="286"/>
      <c r="B27" s="286"/>
      <c r="C27" s="286"/>
      <c r="D27" s="321" t="s">
        <v>2745</v>
      </c>
      <c r="E27" s="286" t="s">
        <v>2978</v>
      </c>
      <c r="F27" s="286"/>
      <c r="G27" s="286"/>
      <c r="H27" s="286"/>
      <c r="I27" s="286"/>
      <c r="J27" s="286"/>
      <c r="K27" s="286"/>
      <c r="L27" s="286"/>
      <c r="M27" s="286"/>
      <c r="N27" s="286"/>
      <c r="O27" s="286"/>
      <c r="P27" s="286"/>
      <c r="Q27" s="286"/>
      <c r="R27" s="286"/>
      <c r="S27" s="286"/>
      <c r="T27" s="286"/>
      <c r="U27" s="286"/>
      <c r="V27" s="286"/>
    </row>
    <row r="28" spans="1:22">
      <c r="A28" s="286"/>
      <c r="B28" s="286"/>
      <c r="C28" s="286"/>
      <c r="D28" s="321" t="s">
        <v>2745</v>
      </c>
      <c r="E28" s="286" t="s">
        <v>1668</v>
      </c>
      <c r="F28" s="286"/>
      <c r="G28" s="286" t="s">
        <v>2868</v>
      </c>
      <c r="H28" s="748"/>
      <c r="I28" s="748"/>
      <c r="J28" s="748"/>
      <c r="K28" s="748"/>
      <c r="L28" s="748"/>
      <c r="M28" s="748"/>
      <c r="N28" s="748"/>
      <c r="O28" s="748"/>
      <c r="P28" s="748"/>
      <c r="Q28" s="748"/>
      <c r="R28" s="748"/>
      <c r="S28" s="748"/>
      <c r="T28" s="311" t="s">
        <v>2869</v>
      </c>
      <c r="U28" s="286"/>
      <c r="V28" s="286"/>
    </row>
    <row r="29" spans="1:22">
      <c r="A29" s="286"/>
      <c r="B29" s="286"/>
      <c r="C29" s="286"/>
      <c r="D29" s="286"/>
      <c r="E29" s="286"/>
      <c r="F29" s="286"/>
      <c r="G29" s="286"/>
      <c r="H29" s="286"/>
      <c r="I29" s="286"/>
      <c r="J29" s="286"/>
      <c r="K29" s="286"/>
      <c r="L29" s="286"/>
      <c r="M29" s="286"/>
      <c r="N29" s="286"/>
      <c r="O29" s="286"/>
      <c r="P29" s="286"/>
      <c r="Q29" s="286"/>
      <c r="R29" s="286"/>
      <c r="S29" s="286"/>
      <c r="T29" s="286"/>
      <c r="U29" s="286"/>
      <c r="V29" s="286"/>
    </row>
    <row r="30" spans="1:22">
      <c r="A30" s="286"/>
      <c r="B30" s="286"/>
      <c r="C30" s="286"/>
      <c r="D30" s="286"/>
      <c r="E30" s="286"/>
      <c r="F30" s="286"/>
      <c r="G30" s="286"/>
      <c r="H30" s="286"/>
      <c r="I30" s="286"/>
      <c r="J30" s="286"/>
      <c r="K30" s="286"/>
      <c r="L30" s="286"/>
      <c r="M30" s="286"/>
      <c r="N30" s="286"/>
      <c r="O30" s="286"/>
      <c r="P30" s="286"/>
      <c r="Q30" s="286"/>
      <c r="R30" s="286"/>
      <c r="S30" s="286"/>
      <c r="T30" s="286"/>
      <c r="U30" s="286"/>
      <c r="V30" s="286"/>
    </row>
    <row r="31" spans="1:22">
      <c r="A31" s="286" t="s">
        <v>2979</v>
      </c>
      <c r="B31" s="286"/>
      <c r="C31" s="286"/>
      <c r="D31" s="286"/>
      <c r="E31" s="286"/>
      <c r="F31" s="286"/>
      <c r="G31" s="286"/>
      <c r="H31" s="286"/>
      <c r="I31" s="286"/>
      <c r="J31" s="286"/>
      <c r="K31" s="286"/>
      <c r="L31" s="286"/>
      <c r="M31" s="286"/>
      <c r="N31" s="286"/>
      <c r="O31" s="286"/>
      <c r="P31" s="320"/>
      <c r="Q31" s="286" t="s">
        <v>2822</v>
      </c>
      <c r="R31" s="320"/>
      <c r="S31" s="286" t="s">
        <v>2823</v>
      </c>
      <c r="T31" s="320"/>
      <c r="U31" s="286" t="s">
        <v>2824</v>
      </c>
      <c r="V31" s="286"/>
    </row>
    <row r="32" spans="1:22">
      <c r="A32" s="286"/>
      <c r="B32" s="286" t="s">
        <v>2956</v>
      </c>
      <c r="C32" s="286"/>
      <c r="D32" s="286"/>
      <c r="E32" s="286"/>
      <c r="F32" s="746" t="str">
        <f>cst_wskakunin_owner1__space3</f>
        <v>猫山　花子</v>
      </c>
      <c r="G32" s="751"/>
      <c r="H32" s="751"/>
      <c r="I32" s="751"/>
      <c r="J32" s="751"/>
      <c r="K32" s="751"/>
      <c r="L32" s="751"/>
      <c r="M32" s="751"/>
      <c r="N32" s="751"/>
      <c r="O32" s="751"/>
      <c r="P32" s="751"/>
      <c r="Q32" s="751"/>
      <c r="R32" s="751"/>
      <c r="S32" s="751"/>
      <c r="T32" s="751"/>
      <c r="U32" s="751"/>
      <c r="V32" s="286"/>
    </row>
    <row r="33" spans="1:22">
      <c r="A33" s="286"/>
      <c r="B33" s="286" t="s">
        <v>2980</v>
      </c>
      <c r="C33" s="286"/>
      <c r="D33" s="286"/>
      <c r="E33" s="286"/>
      <c r="F33" s="746" t="str">
        <f>cst_wskakunin_owner1__address</f>
        <v>大阪府茨木市山手台2-2-2</v>
      </c>
      <c r="G33" s="746"/>
      <c r="H33" s="746"/>
      <c r="I33" s="746"/>
      <c r="J33" s="746"/>
      <c r="K33" s="746"/>
      <c r="L33" s="746"/>
      <c r="M33" s="746"/>
      <c r="N33" s="746"/>
      <c r="O33" s="746"/>
      <c r="P33" s="746"/>
      <c r="Q33" s="746"/>
      <c r="R33" s="746"/>
      <c r="S33" s="746"/>
      <c r="T33" s="746"/>
      <c r="U33" s="746"/>
      <c r="V33" s="286"/>
    </row>
    <row r="34" spans="1:22">
      <c r="A34" s="286"/>
      <c r="B34" s="286" t="s">
        <v>2962</v>
      </c>
      <c r="C34" s="286"/>
      <c r="D34" s="286"/>
      <c r="E34" s="286"/>
      <c r="F34" s="746" t="str">
        <f>cst_wskakunin_owner1_TEL</f>
        <v>なし</v>
      </c>
      <c r="G34" s="746"/>
      <c r="H34" s="746"/>
      <c r="I34" s="746"/>
      <c r="J34" s="746"/>
      <c r="K34" s="746"/>
      <c r="L34" s="746"/>
      <c r="M34" s="746"/>
      <c r="N34" s="746"/>
      <c r="O34" s="746"/>
      <c r="P34" s="746"/>
      <c r="Q34" s="746"/>
      <c r="R34" s="746"/>
      <c r="S34" s="746"/>
      <c r="T34" s="746"/>
      <c r="U34" s="746"/>
      <c r="V34" s="286"/>
    </row>
  </sheetData>
  <mergeCells count="13">
    <mergeCell ref="A1:V1"/>
    <mergeCell ref="F6:U6"/>
    <mergeCell ref="F7:U7"/>
    <mergeCell ref="F8:U8"/>
    <mergeCell ref="A11:V11"/>
    <mergeCell ref="F34:U34"/>
    <mergeCell ref="F15:U15"/>
    <mergeCell ref="F16:U16"/>
    <mergeCell ref="H28:S28"/>
    <mergeCell ref="F4:U4"/>
    <mergeCell ref="F33:U33"/>
    <mergeCell ref="A12:U12"/>
    <mergeCell ref="F32:U32"/>
  </mergeCells>
  <phoneticPr fontId="7"/>
  <dataValidations count="1">
    <dataValidation type="list" allowBlank="1" showInputMessage="1" showErrorMessage="1" sqref="D20:D28 M20:M25" xr:uid="{F1A6BBDE-B5A1-45E1-9630-37A7722544C7}">
      <formula1>しろくろ</formula1>
    </dataValidation>
  </dataValidations>
  <printOptions horizontalCentered="1"/>
  <pageMargins left="0.39370078740157483" right="0.39370078740157483" top="0.74803149606299213" bottom="0.74803149606299213" header="0.31496062992125984" footer="0.31496062992125984"/>
  <pageSetup paperSize="9"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0B74-C077-427E-B4F5-7E0F3B0783A4}">
  <dimension ref="A1:T41"/>
  <sheetViews>
    <sheetView zoomScale="130" zoomScaleNormal="130" workbookViewId="0">
      <selection activeCell="U1" sqref="U1"/>
    </sheetView>
  </sheetViews>
  <sheetFormatPr defaultRowHeight="12.75"/>
  <cols>
    <col min="1" max="3" width="3.625" style="332" customWidth="1"/>
    <col min="4" max="10" width="4.125" style="332" customWidth="1"/>
    <col min="11" max="13" width="3.625" style="332" customWidth="1"/>
    <col min="14" max="20" width="4.125" style="332" customWidth="1"/>
    <col min="21" max="21" width="9" style="332" customWidth="1"/>
    <col min="22" max="16384" width="9" style="332"/>
  </cols>
  <sheetData>
    <row r="1" spans="1:20" ht="17.25">
      <c r="A1" s="357" t="s">
        <v>2981</v>
      </c>
      <c r="B1" s="356"/>
      <c r="C1" s="356"/>
      <c r="D1" s="356"/>
      <c r="E1" s="356"/>
      <c r="F1" s="356"/>
      <c r="G1" s="356"/>
      <c r="H1" s="356"/>
      <c r="I1" s="356"/>
      <c r="J1" s="356"/>
      <c r="K1" s="356"/>
      <c r="L1" s="356"/>
      <c r="M1" s="356"/>
      <c r="N1" s="356"/>
      <c r="O1" s="356"/>
      <c r="P1" s="356"/>
      <c r="Q1" s="356"/>
      <c r="R1" s="356"/>
      <c r="S1" s="356"/>
      <c r="T1" s="356"/>
    </row>
    <row r="2" spans="1:20">
      <c r="A2" s="355"/>
      <c r="B2" s="355"/>
      <c r="C2" s="355"/>
      <c r="D2" s="355"/>
      <c r="E2" s="355"/>
      <c r="F2" s="355"/>
      <c r="G2" s="355"/>
      <c r="H2" s="355"/>
      <c r="I2" s="355"/>
      <c r="J2" s="355"/>
      <c r="K2" s="355"/>
      <c r="L2" s="355"/>
      <c r="M2" s="355"/>
      <c r="N2" s="355"/>
      <c r="O2" s="355"/>
      <c r="P2" s="355"/>
      <c r="Q2" s="355"/>
      <c r="R2" s="355"/>
      <c r="S2" s="355"/>
      <c r="T2" s="355"/>
    </row>
    <row r="3" spans="1:20">
      <c r="M3" s="332" t="s">
        <v>2982</v>
      </c>
      <c r="N3" s="364"/>
      <c r="O3" s="332" t="s">
        <v>2983</v>
      </c>
      <c r="R3" s="764"/>
      <c r="S3" s="764"/>
      <c r="T3" s="332" t="s">
        <v>2762</v>
      </c>
    </row>
    <row r="5" spans="1:20">
      <c r="N5" s="332" t="str">
        <f ca="1">TEXT(TODAY(),"ggg")</f>
        <v>令和</v>
      </c>
      <c r="O5" s="365"/>
      <c r="P5" s="332" t="s">
        <v>2822</v>
      </c>
      <c r="Q5" s="365"/>
      <c r="R5" s="332" t="s">
        <v>2823</v>
      </c>
      <c r="S5" s="365"/>
      <c r="T5" s="332" t="s">
        <v>2824</v>
      </c>
    </row>
    <row r="7" spans="1:20">
      <c r="A7" s="332" t="s">
        <v>2984</v>
      </c>
    </row>
    <row r="9" spans="1:20">
      <c r="B9" s="354" t="s">
        <v>2985</v>
      </c>
    </row>
    <row r="10" spans="1:20">
      <c r="B10" s="332" t="s">
        <v>2986</v>
      </c>
    </row>
    <row r="13" spans="1:20" ht="24.95" customHeight="1">
      <c r="A13" s="778" t="s">
        <v>2987</v>
      </c>
      <c r="B13" s="779"/>
      <c r="C13" s="780"/>
      <c r="D13" s="788" t="str">
        <f ca="1">TEXT(TODAY(),"ggg")</f>
        <v>令和</v>
      </c>
      <c r="E13" s="784"/>
      <c r="F13" s="765" t="s">
        <v>2822</v>
      </c>
      <c r="G13" s="786"/>
      <c r="H13" s="765" t="s">
        <v>2823</v>
      </c>
      <c r="I13" s="795"/>
      <c r="J13" s="766" t="s">
        <v>2824</v>
      </c>
      <c r="K13" s="765" t="s">
        <v>2988</v>
      </c>
      <c r="L13" s="765"/>
      <c r="M13" s="766"/>
      <c r="N13" s="773" t="str">
        <f>IF(cst_wskakunin_sekkei1_JIMU_NAME="",cst_wskakunin_sekkei1_NAME,cst_wskakunin_sekkei1_JIMU_NAME&amp;"　"&amp;cst_wskakunin_sekkei1_NAME)</f>
        <v>猫建築事務所　現場　猫</v>
      </c>
      <c r="O13" s="774"/>
      <c r="P13" s="774"/>
      <c r="Q13" s="774"/>
      <c r="R13" s="774"/>
      <c r="S13" s="774"/>
      <c r="T13" s="775"/>
    </row>
    <row r="14" spans="1:20" ht="24.95" customHeight="1">
      <c r="A14" s="781"/>
      <c r="B14" s="758"/>
      <c r="C14" s="759"/>
      <c r="D14" s="789"/>
      <c r="E14" s="785"/>
      <c r="F14" s="762"/>
      <c r="G14" s="787"/>
      <c r="H14" s="762"/>
      <c r="I14" s="796"/>
      <c r="J14" s="763"/>
      <c r="K14" s="762"/>
      <c r="L14" s="762"/>
      <c r="M14" s="763"/>
      <c r="N14" s="770"/>
      <c r="O14" s="771"/>
      <c r="P14" s="771"/>
      <c r="Q14" s="771"/>
      <c r="R14" s="771"/>
      <c r="S14" s="771"/>
      <c r="T14" s="772"/>
    </row>
    <row r="15" spans="1:20" ht="24.95" customHeight="1">
      <c r="A15" s="793" t="s">
        <v>2989</v>
      </c>
      <c r="B15" s="754"/>
      <c r="C15" s="755"/>
      <c r="D15" s="332" t="s">
        <v>2982</v>
      </c>
      <c r="E15" s="684"/>
      <c r="F15" s="332" t="s">
        <v>2990</v>
      </c>
      <c r="J15" s="353"/>
      <c r="K15" s="760" t="s">
        <v>2828</v>
      </c>
      <c r="L15" s="760"/>
      <c r="M15" s="761"/>
      <c r="N15" s="767" t="str">
        <f>IF(cst_wskakunin_kanri1_JIMU_NAME="",cst_wskakunin_kanri1_NAME,cst_wskakunin_kanri1_JIMU_NAME&amp;"　"&amp;cst_wskakunin_kanri1_NAME)</f>
        <v>猫建築事務所　現場　猫</v>
      </c>
      <c r="O15" s="768"/>
      <c r="P15" s="768"/>
      <c r="Q15" s="768"/>
      <c r="R15" s="768"/>
      <c r="S15" s="768"/>
      <c r="T15" s="769"/>
    </row>
    <row r="16" spans="1:20" ht="24.95" customHeight="1">
      <c r="A16" s="781"/>
      <c r="B16" s="758"/>
      <c r="C16" s="759"/>
      <c r="D16" s="352"/>
      <c r="E16" s="352"/>
      <c r="F16" s="794"/>
      <c r="G16" s="794"/>
      <c r="H16" s="794"/>
      <c r="I16" s="794"/>
      <c r="J16" s="351" t="s">
        <v>2762</v>
      </c>
      <c r="K16" s="762"/>
      <c r="L16" s="762"/>
      <c r="M16" s="763"/>
      <c r="N16" s="770"/>
      <c r="O16" s="771"/>
      <c r="P16" s="771"/>
      <c r="Q16" s="771"/>
      <c r="R16" s="771"/>
      <c r="S16" s="771"/>
      <c r="T16" s="772"/>
    </row>
    <row r="17" spans="1:20" ht="24.95" customHeight="1">
      <c r="A17" s="790" t="s">
        <v>2991</v>
      </c>
      <c r="B17" s="791"/>
      <c r="C17" s="792"/>
      <c r="D17" s="350" t="str">
        <f ca="1">TEXT(TODAY(),"ggg")</f>
        <v>令和</v>
      </c>
      <c r="E17" s="683"/>
      <c r="F17" s="350" t="s">
        <v>2822</v>
      </c>
      <c r="G17" s="683"/>
      <c r="H17" s="350" t="s">
        <v>2823</v>
      </c>
      <c r="I17" s="683"/>
      <c r="J17" s="349" t="s">
        <v>2824</v>
      </c>
      <c r="K17" s="760" t="s">
        <v>2992</v>
      </c>
      <c r="L17" s="760"/>
      <c r="M17" s="761"/>
      <c r="N17" s="767" t="str">
        <f>IF(cst_wskakunin_sekou1_JIMU_NAME="",cst_wskakunin_sekou1_NAME,cst_wskakunin_sekou1_JIMU_NAME&amp;"　"&amp;cst_wskakunin_sekou1_NAME)</f>
        <v>四辻木材興行株式会社　代表取締役　波夛野　賢</v>
      </c>
      <c r="O17" s="768"/>
      <c r="P17" s="768"/>
      <c r="Q17" s="768"/>
      <c r="R17" s="768"/>
      <c r="S17" s="768"/>
      <c r="T17" s="769"/>
    </row>
    <row r="18" spans="1:20" ht="24.95" customHeight="1">
      <c r="A18" s="782" t="s">
        <v>181</v>
      </c>
      <c r="B18" s="760"/>
      <c r="C18" s="761"/>
      <c r="D18" s="767" t="str">
        <f>cst_wskakunin_owner1__space</f>
        <v>猫山　花子</v>
      </c>
      <c r="E18" s="768"/>
      <c r="F18" s="768"/>
      <c r="G18" s="768"/>
      <c r="H18" s="768"/>
      <c r="I18" s="768"/>
      <c r="J18" s="776"/>
      <c r="K18" s="762"/>
      <c r="L18" s="762"/>
      <c r="M18" s="763"/>
      <c r="N18" s="770"/>
      <c r="O18" s="771"/>
      <c r="P18" s="771"/>
      <c r="Q18" s="771"/>
      <c r="R18" s="771"/>
      <c r="S18" s="771"/>
      <c r="T18" s="772"/>
    </row>
    <row r="19" spans="1:20" ht="24.95" customHeight="1">
      <c r="A19" s="783"/>
      <c r="B19" s="762"/>
      <c r="C19" s="763"/>
      <c r="D19" s="770"/>
      <c r="E19" s="771"/>
      <c r="F19" s="771"/>
      <c r="G19" s="771"/>
      <c r="H19" s="771"/>
      <c r="I19" s="771"/>
      <c r="J19" s="777"/>
      <c r="K19" s="754" t="s">
        <v>2993</v>
      </c>
      <c r="L19" s="754"/>
      <c r="M19" s="755"/>
      <c r="N19" s="367"/>
      <c r="O19" s="368"/>
      <c r="P19" s="368"/>
      <c r="Q19" s="368"/>
      <c r="R19" s="368"/>
      <c r="S19" s="368"/>
      <c r="T19" s="369"/>
    </row>
    <row r="20" spans="1:20" ht="24.95" customHeight="1">
      <c r="A20" s="782" t="s">
        <v>2994</v>
      </c>
      <c r="B20" s="760"/>
      <c r="C20" s="761"/>
      <c r="D20" s="767" t="str">
        <f>cst_wskakunin_BUILD__address</f>
        <v>大阪府茨木市山手台2-2-2</v>
      </c>
      <c r="E20" s="768"/>
      <c r="F20" s="768"/>
      <c r="G20" s="768"/>
      <c r="H20" s="768"/>
      <c r="I20" s="768"/>
      <c r="J20" s="776"/>
      <c r="K20" s="756"/>
      <c r="L20" s="756"/>
      <c r="M20" s="757"/>
      <c r="N20" s="370"/>
      <c r="O20" s="366"/>
      <c r="P20" s="366"/>
      <c r="Q20" s="366"/>
      <c r="R20" s="366"/>
      <c r="S20" s="366"/>
      <c r="T20" s="371"/>
    </row>
    <row r="21" spans="1:20" ht="24.95" customHeight="1">
      <c r="A21" s="783"/>
      <c r="B21" s="762"/>
      <c r="C21" s="763"/>
      <c r="D21" s="770"/>
      <c r="E21" s="771"/>
      <c r="F21" s="771"/>
      <c r="G21" s="771"/>
      <c r="H21" s="771"/>
      <c r="I21" s="771"/>
      <c r="J21" s="777"/>
      <c r="K21" s="758"/>
      <c r="L21" s="758"/>
      <c r="M21" s="759"/>
      <c r="N21" s="372"/>
      <c r="O21" s="373"/>
      <c r="P21" s="373"/>
      <c r="Q21" s="373"/>
      <c r="R21" s="373"/>
      <c r="S21" s="373"/>
      <c r="T21" s="374"/>
    </row>
    <row r="22" spans="1:20" ht="21.95" customHeight="1">
      <c r="A22" s="348" t="s">
        <v>2995</v>
      </c>
      <c r="B22" s="346"/>
      <c r="C22" s="346"/>
      <c r="D22" s="346"/>
      <c r="E22" s="346"/>
      <c r="F22" s="346"/>
      <c r="G22" s="346"/>
      <c r="H22" s="346"/>
      <c r="I22" s="346"/>
      <c r="J22" s="347"/>
      <c r="K22" s="346" t="s">
        <v>2996</v>
      </c>
      <c r="L22" s="346"/>
      <c r="M22" s="346"/>
      <c r="N22" s="346"/>
      <c r="O22" s="346"/>
      <c r="P22" s="346"/>
      <c r="Q22" s="346"/>
      <c r="R22" s="346"/>
      <c r="S22" s="346"/>
      <c r="T22" s="345"/>
    </row>
    <row r="23" spans="1:20" ht="21.95" customHeight="1">
      <c r="A23" s="344"/>
      <c r="B23" s="342"/>
      <c r="C23" s="342"/>
      <c r="D23" s="342"/>
      <c r="E23" s="342"/>
      <c r="F23" s="342"/>
      <c r="G23" s="342"/>
      <c r="H23" s="342"/>
      <c r="I23" s="342"/>
      <c r="J23" s="343"/>
      <c r="K23" s="342"/>
      <c r="L23" s="342"/>
      <c r="M23" s="342"/>
      <c r="N23" s="342"/>
      <c r="O23" s="342"/>
      <c r="P23" s="342"/>
      <c r="Q23" s="342"/>
      <c r="R23" s="342"/>
      <c r="S23" s="342"/>
      <c r="T23" s="341"/>
    </row>
    <row r="24" spans="1:20" ht="21.95" customHeight="1">
      <c r="A24" s="340"/>
      <c r="B24" s="338"/>
      <c r="C24" s="338"/>
      <c r="D24" s="338"/>
      <c r="E24" s="338"/>
      <c r="F24" s="338"/>
      <c r="G24" s="338"/>
      <c r="H24" s="338"/>
      <c r="I24" s="338"/>
      <c r="J24" s="339"/>
      <c r="K24" s="338"/>
      <c r="L24" s="338"/>
      <c r="M24" s="338"/>
      <c r="N24" s="338"/>
      <c r="O24" s="338"/>
      <c r="P24" s="338"/>
      <c r="Q24" s="338"/>
      <c r="R24" s="338"/>
      <c r="S24" s="338"/>
      <c r="T24" s="337"/>
    </row>
    <row r="25" spans="1:20" ht="21.95" customHeight="1">
      <c r="A25" s="340"/>
      <c r="B25" s="338"/>
      <c r="C25" s="338"/>
      <c r="D25" s="338"/>
      <c r="E25" s="338"/>
      <c r="F25" s="338"/>
      <c r="G25" s="338"/>
      <c r="H25" s="338"/>
      <c r="I25" s="338"/>
      <c r="J25" s="339"/>
      <c r="K25" s="338"/>
      <c r="L25" s="338"/>
      <c r="M25" s="338"/>
      <c r="N25" s="338"/>
      <c r="O25" s="338"/>
      <c r="P25" s="338"/>
      <c r="Q25" s="338"/>
      <c r="R25" s="338"/>
      <c r="S25" s="338"/>
      <c r="T25" s="337"/>
    </row>
    <row r="26" spans="1:20" ht="21.95" customHeight="1">
      <c r="A26" s="340"/>
      <c r="B26" s="338"/>
      <c r="C26" s="338"/>
      <c r="D26" s="338"/>
      <c r="E26" s="338"/>
      <c r="F26" s="338"/>
      <c r="G26" s="338"/>
      <c r="H26" s="338"/>
      <c r="I26" s="338"/>
      <c r="J26" s="339"/>
      <c r="K26" s="338"/>
      <c r="L26" s="338"/>
      <c r="M26" s="338"/>
      <c r="N26" s="338"/>
      <c r="O26" s="338"/>
      <c r="P26" s="338"/>
      <c r="Q26" s="338"/>
      <c r="R26" s="338"/>
      <c r="S26" s="338"/>
      <c r="T26" s="337"/>
    </row>
    <row r="27" spans="1:20" ht="21.95" customHeight="1">
      <c r="A27" s="340"/>
      <c r="B27" s="338"/>
      <c r="C27" s="338"/>
      <c r="D27" s="338"/>
      <c r="E27" s="338"/>
      <c r="F27" s="338"/>
      <c r="G27" s="338"/>
      <c r="H27" s="338"/>
      <c r="I27" s="338"/>
      <c r="J27" s="339"/>
      <c r="K27" s="338"/>
      <c r="L27" s="338"/>
      <c r="M27" s="338"/>
      <c r="N27" s="338"/>
      <c r="O27" s="338"/>
      <c r="P27" s="338"/>
      <c r="Q27" s="338"/>
      <c r="R27" s="338"/>
      <c r="S27" s="338"/>
      <c r="T27" s="337"/>
    </row>
    <row r="28" spans="1:20" ht="21.95" customHeight="1">
      <c r="A28" s="340"/>
      <c r="B28" s="338"/>
      <c r="C28" s="338"/>
      <c r="D28" s="338"/>
      <c r="E28" s="338"/>
      <c r="F28" s="338"/>
      <c r="G28" s="338"/>
      <c r="H28" s="338"/>
      <c r="I28" s="338"/>
      <c r="J28" s="339"/>
      <c r="K28" s="338"/>
      <c r="L28" s="338"/>
      <c r="M28" s="338"/>
      <c r="N28" s="338"/>
      <c r="O28" s="338"/>
      <c r="P28" s="338"/>
      <c r="Q28" s="338"/>
      <c r="R28" s="338"/>
      <c r="S28" s="338"/>
      <c r="T28" s="337"/>
    </row>
    <row r="29" spans="1:20" ht="21.95" customHeight="1">
      <c r="A29" s="340"/>
      <c r="B29" s="338"/>
      <c r="C29" s="338"/>
      <c r="D29" s="338"/>
      <c r="E29" s="338"/>
      <c r="F29" s="338"/>
      <c r="G29" s="338"/>
      <c r="H29" s="338"/>
      <c r="I29" s="338"/>
      <c r="J29" s="339"/>
      <c r="K29" s="338"/>
      <c r="L29" s="338"/>
      <c r="M29" s="338"/>
      <c r="N29" s="338"/>
      <c r="O29" s="338"/>
      <c r="P29" s="338"/>
      <c r="Q29" s="338"/>
      <c r="R29" s="338"/>
      <c r="S29" s="338"/>
      <c r="T29" s="337"/>
    </row>
    <row r="30" spans="1:20" ht="21.95" customHeight="1">
      <c r="A30" s="340"/>
      <c r="B30" s="338"/>
      <c r="C30" s="338"/>
      <c r="D30" s="338"/>
      <c r="E30" s="338"/>
      <c r="F30" s="338"/>
      <c r="G30" s="338"/>
      <c r="H30" s="338"/>
      <c r="I30" s="338"/>
      <c r="J30" s="339"/>
      <c r="K30" s="338"/>
      <c r="L30" s="338"/>
      <c r="M30" s="338"/>
      <c r="N30" s="338"/>
      <c r="O30" s="338"/>
      <c r="P30" s="338"/>
      <c r="Q30" s="338"/>
      <c r="R30" s="338"/>
      <c r="S30" s="338"/>
      <c r="T30" s="337"/>
    </row>
    <row r="31" spans="1:20" ht="21.95" customHeight="1">
      <c r="A31" s="340"/>
      <c r="B31" s="338"/>
      <c r="C31" s="338"/>
      <c r="D31" s="338"/>
      <c r="E31" s="338"/>
      <c r="F31" s="338"/>
      <c r="G31" s="338"/>
      <c r="H31" s="338"/>
      <c r="I31" s="338"/>
      <c r="J31" s="339"/>
      <c r="K31" s="338"/>
      <c r="L31" s="338"/>
      <c r="M31" s="338"/>
      <c r="N31" s="338"/>
      <c r="O31" s="338"/>
      <c r="P31" s="338"/>
      <c r="Q31" s="338"/>
      <c r="R31" s="338"/>
      <c r="S31" s="338"/>
      <c r="T31" s="337"/>
    </row>
    <row r="32" spans="1:20" ht="21.95" customHeight="1">
      <c r="A32" s="340"/>
      <c r="B32" s="338"/>
      <c r="C32" s="338"/>
      <c r="D32" s="338"/>
      <c r="E32" s="338"/>
      <c r="F32" s="338"/>
      <c r="G32" s="338"/>
      <c r="H32" s="338"/>
      <c r="I32" s="338"/>
      <c r="J32" s="339"/>
      <c r="K32" s="338"/>
      <c r="L32" s="338"/>
      <c r="M32" s="338"/>
      <c r="N32" s="338"/>
      <c r="O32" s="338"/>
      <c r="P32" s="338"/>
      <c r="Q32" s="338"/>
      <c r="R32" s="338"/>
      <c r="S32" s="338"/>
      <c r="T32" s="337"/>
    </row>
    <row r="33" spans="1:20" ht="21.95" customHeight="1">
      <c r="A33" s="340"/>
      <c r="B33" s="338"/>
      <c r="C33" s="338"/>
      <c r="D33" s="338"/>
      <c r="E33" s="338"/>
      <c r="F33" s="338"/>
      <c r="G33" s="338"/>
      <c r="H33" s="338"/>
      <c r="I33" s="338"/>
      <c r="J33" s="339"/>
      <c r="K33" s="338"/>
      <c r="L33" s="338"/>
      <c r="M33" s="338"/>
      <c r="N33" s="338"/>
      <c r="O33" s="338"/>
      <c r="P33" s="338"/>
      <c r="Q33" s="338"/>
      <c r="R33" s="338"/>
      <c r="S33" s="338"/>
      <c r="T33" s="337"/>
    </row>
    <row r="34" spans="1:20" ht="21.95" customHeight="1">
      <c r="A34" s="340"/>
      <c r="B34" s="338"/>
      <c r="C34" s="338"/>
      <c r="D34" s="338"/>
      <c r="E34" s="338"/>
      <c r="F34" s="338"/>
      <c r="G34" s="338"/>
      <c r="H34" s="338"/>
      <c r="I34" s="338"/>
      <c r="J34" s="339"/>
      <c r="K34" s="338"/>
      <c r="L34" s="338"/>
      <c r="M34" s="338"/>
      <c r="N34" s="338"/>
      <c r="O34" s="338"/>
      <c r="P34" s="338"/>
      <c r="Q34" s="338"/>
      <c r="R34" s="338"/>
      <c r="S34" s="338"/>
      <c r="T34" s="337"/>
    </row>
    <row r="35" spans="1:20" ht="21.95" customHeight="1">
      <c r="A35" s="340"/>
      <c r="B35" s="338"/>
      <c r="C35" s="338"/>
      <c r="D35" s="338"/>
      <c r="E35" s="338"/>
      <c r="F35" s="338"/>
      <c r="G35" s="338"/>
      <c r="H35" s="338"/>
      <c r="I35" s="338"/>
      <c r="J35" s="339"/>
      <c r="K35" s="338"/>
      <c r="L35" s="338"/>
      <c r="M35" s="338"/>
      <c r="N35" s="338"/>
      <c r="O35" s="338"/>
      <c r="P35" s="338"/>
      <c r="Q35" s="338"/>
      <c r="R35" s="338"/>
      <c r="S35" s="338"/>
      <c r="T35" s="337"/>
    </row>
    <row r="36" spans="1:20" ht="21.95" customHeight="1">
      <c r="A36" s="340"/>
      <c r="B36" s="338"/>
      <c r="C36" s="338"/>
      <c r="D36" s="338"/>
      <c r="E36" s="338"/>
      <c r="F36" s="338"/>
      <c r="G36" s="338"/>
      <c r="H36" s="338"/>
      <c r="I36" s="338"/>
      <c r="J36" s="339"/>
      <c r="K36" s="338"/>
      <c r="L36" s="338"/>
      <c r="M36" s="338"/>
      <c r="N36" s="338"/>
      <c r="O36" s="338"/>
      <c r="P36" s="338"/>
      <c r="Q36" s="338"/>
      <c r="R36" s="338"/>
      <c r="S36" s="338"/>
      <c r="T36" s="337"/>
    </row>
    <row r="37" spans="1:20" ht="21.95" customHeight="1">
      <c r="A37" s="336"/>
      <c r="B37" s="334"/>
      <c r="C37" s="334"/>
      <c r="D37" s="334"/>
      <c r="E37" s="334"/>
      <c r="F37" s="334"/>
      <c r="G37" s="334"/>
      <c r="H37" s="334"/>
      <c r="I37" s="334"/>
      <c r="J37" s="335"/>
      <c r="K37" s="334"/>
      <c r="L37" s="334"/>
      <c r="M37" s="334"/>
      <c r="N37" s="334"/>
      <c r="O37" s="334"/>
      <c r="P37" s="334"/>
      <c r="Q37" s="334"/>
      <c r="R37" s="334"/>
      <c r="S37" s="334"/>
      <c r="T37" s="333"/>
    </row>
    <row r="38" spans="1:20" ht="21.95" customHeight="1">
      <c r="A38" s="332" t="s">
        <v>2997</v>
      </c>
    </row>
    <row r="39" spans="1:20" ht="24.95" customHeight="1"/>
    <row r="40" spans="1:20" ht="24.95" customHeight="1"/>
    <row r="41" spans="1:20" ht="24.95" customHeight="1"/>
  </sheetData>
  <mergeCells count="23">
    <mergeCell ref="D20:J21"/>
    <mergeCell ref="D18:J19"/>
    <mergeCell ref="A13:C14"/>
    <mergeCell ref="A20:C21"/>
    <mergeCell ref="A18:C19"/>
    <mergeCell ref="F13:F14"/>
    <mergeCell ref="H13:H14"/>
    <mergeCell ref="E13:E14"/>
    <mergeCell ref="G13:G14"/>
    <mergeCell ref="D13:D14"/>
    <mergeCell ref="A17:C17"/>
    <mergeCell ref="A15:C16"/>
    <mergeCell ref="F16:I16"/>
    <mergeCell ref="J13:J14"/>
    <mergeCell ref="I13:I14"/>
    <mergeCell ref="K19:M21"/>
    <mergeCell ref="K17:M18"/>
    <mergeCell ref="R3:S3"/>
    <mergeCell ref="K13:M14"/>
    <mergeCell ref="K15:M16"/>
    <mergeCell ref="N17:T18"/>
    <mergeCell ref="N15:T16"/>
    <mergeCell ref="N13:T14"/>
  </mergeCells>
  <phoneticPr fontId="7"/>
  <pageMargins left="1.1417322834645669" right="0.70866141732283472" top="0.74803149606299213" bottom="0.39370078740157483" header="0.31496062992125984" footer="0.31496062992125984"/>
  <pageSetup paperSize="9"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91CF-969E-4961-83DA-613089205F11}">
  <dimension ref="A1:T41"/>
  <sheetViews>
    <sheetView zoomScale="130" zoomScaleNormal="130" workbookViewId="0"/>
  </sheetViews>
  <sheetFormatPr defaultRowHeight="12.75"/>
  <cols>
    <col min="1" max="3" width="3.625" style="332" customWidth="1"/>
    <col min="4" max="10" width="4.125" style="332" customWidth="1"/>
    <col min="11" max="13" width="3.625" style="332" customWidth="1"/>
    <col min="14" max="20" width="4.125" style="332" customWidth="1"/>
    <col min="21" max="21" width="9" style="332" customWidth="1"/>
    <col min="22" max="16384" width="9" style="332"/>
  </cols>
  <sheetData>
    <row r="1" spans="1:20" ht="17.25">
      <c r="A1" s="357" t="s">
        <v>2998</v>
      </c>
      <c r="B1" s="356"/>
      <c r="C1" s="356"/>
      <c r="D1" s="356"/>
      <c r="E1" s="356"/>
      <c r="F1" s="356"/>
      <c r="G1" s="356"/>
      <c r="H1" s="356"/>
      <c r="I1" s="356"/>
      <c r="J1" s="356"/>
      <c r="K1" s="356"/>
      <c r="L1" s="356"/>
      <c r="M1" s="356"/>
      <c r="N1" s="356"/>
      <c r="O1" s="356"/>
      <c r="P1" s="356"/>
      <c r="Q1" s="356"/>
      <c r="R1" s="356"/>
      <c r="S1" s="356"/>
      <c r="T1" s="356"/>
    </row>
    <row r="2" spans="1:20">
      <c r="A2" s="355"/>
      <c r="B2" s="355"/>
      <c r="C2" s="355"/>
      <c r="D2" s="355"/>
      <c r="E2" s="355"/>
      <c r="F2" s="355"/>
      <c r="G2" s="355"/>
      <c r="H2" s="355"/>
      <c r="I2" s="355"/>
      <c r="J2" s="355"/>
      <c r="K2" s="355"/>
      <c r="L2" s="355"/>
      <c r="M2" s="355"/>
      <c r="N2" s="355"/>
      <c r="O2" s="355"/>
      <c r="P2" s="355"/>
      <c r="Q2" s="355"/>
      <c r="R2" s="355"/>
      <c r="S2" s="355"/>
      <c r="T2" s="355"/>
    </row>
    <row r="3" spans="1:20">
      <c r="M3" s="332" t="s">
        <v>2982</v>
      </c>
      <c r="N3" s="364"/>
      <c r="O3" s="332" t="s">
        <v>2983</v>
      </c>
      <c r="R3" s="764"/>
      <c r="S3" s="764"/>
      <c r="T3" s="332" t="s">
        <v>2762</v>
      </c>
    </row>
    <row r="5" spans="1:20">
      <c r="N5" s="332" t="str">
        <f ca="1">TEXT(TODAY(),"ggg")</f>
        <v>令和</v>
      </c>
      <c r="O5" s="365"/>
      <c r="P5" s="332" t="s">
        <v>2822</v>
      </c>
      <c r="Q5" s="365"/>
      <c r="R5" s="332" t="s">
        <v>2823</v>
      </c>
      <c r="S5" s="365"/>
      <c r="T5" s="332" t="s">
        <v>2824</v>
      </c>
    </row>
    <row r="7" spans="1:20">
      <c r="A7" s="332" t="s">
        <v>2984</v>
      </c>
    </row>
    <row r="9" spans="1:20">
      <c r="B9" s="354"/>
    </row>
    <row r="13" spans="1:20" ht="24.95" customHeight="1">
      <c r="A13" s="778" t="s">
        <v>2999</v>
      </c>
      <c r="B13" s="779"/>
      <c r="C13" s="780"/>
      <c r="D13" s="788" t="str">
        <f ca="1">TEXT(TODAY(),"ggg")</f>
        <v>令和</v>
      </c>
      <c r="E13" s="784"/>
      <c r="F13" s="765" t="s">
        <v>2822</v>
      </c>
      <c r="G13" s="786"/>
      <c r="H13" s="765" t="s">
        <v>2823</v>
      </c>
      <c r="I13" s="795"/>
      <c r="J13" s="766" t="s">
        <v>2824</v>
      </c>
      <c r="K13" s="765" t="s">
        <v>2988</v>
      </c>
      <c r="L13" s="765"/>
      <c r="M13" s="766"/>
      <c r="N13" s="773" t="str">
        <f>IF(cst_wskakunin_sekkei1_JIMU_NAME="",cst_wskakunin_sekkei1_NAME,cst_wskakunin_sekkei1_JIMU_NAME&amp;"　"&amp;cst_wskakunin_sekkei1_NAME)</f>
        <v>猫建築事務所　現場　猫</v>
      </c>
      <c r="O13" s="774"/>
      <c r="P13" s="774"/>
      <c r="Q13" s="774"/>
      <c r="R13" s="774"/>
      <c r="S13" s="774"/>
      <c r="T13" s="775"/>
    </row>
    <row r="14" spans="1:20" ht="24.95" customHeight="1">
      <c r="A14" s="781"/>
      <c r="B14" s="758"/>
      <c r="C14" s="759"/>
      <c r="D14" s="789"/>
      <c r="E14" s="785"/>
      <c r="F14" s="762"/>
      <c r="G14" s="787"/>
      <c r="H14" s="762"/>
      <c r="I14" s="796"/>
      <c r="J14" s="763"/>
      <c r="K14" s="762"/>
      <c r="L14" s="762"/>
      <c r="M14" s="763"/>
      <c r="N14" s="770"/>
      <c r="O14" s="771"/>
      <c r="P14" s="771"/>
      <c r="Q14" s="771"/>
      <c r="R14" s="771"/>
      <c r="S14" s="771"/>
      <c r="T14" s="772"/>
    </row>
    <row r="15" spans="1:20" ht="24.95" customHeight="1">
      <c r="A15" s="793" t="s">
        <v>3000</v>
      </c>
      <c r="B15" s="754"/>
      <c r="C15" s="755"/>
      <c r="D15" s="332" t="s">
        <v>2982</v>
      </c>
      <c r="E15" s="684"/>
      <c r="F15" s="332" t="s">
        <v>3001</v>
      </c>
      <c r="J15" s="353"/>
      <c r="K15" s="760" t="s">
        <v>2828</v>
      </c>
      <c r="L15" s="760"/>
      <c r="M15" s="761"/>
      <c r="N15" s="767" t="str">
        <f>IF(cst_wskakunin_kanri1_JIMU_NAME="",cst_wskakunin_kanri1_NAME,cst_wskakunin_kanri1_JIMU_NAME&amp;"　"&amp;cst_wskakunin_kanri1_NAME)</f>
        <v>猫建築事務所　現場　猫</v>
      </c>
      <c r="O15" s="768"/>
      <c r="P15" s="768"/>
      <c r="Q15" s="768"/>
      <c r="R15" s="768"/>
      <c r="S15" s="768"/>
      <c r="T15" s="769"/>
    </row>
    <row r="16" spans="1:20" ht="24.95" customHeight="1">
      <c r="A16" s="781"/>
      <c r="B16" s="758"/>
      <c r="C16" s="759"/>
      <c r="D16" s="352"/>
      <c r="E16" s="352"/>
      <c r="F16" s="794"/>
      <c r="G16" s="794"/>
      <c r="H16" s="794"/>
      <c r="I16" s="794"/>
      <c r="J16" s="351" t="s">
        <v>2762</v>
      </c>
      <c r="K16" s="762"/>
      <c r="L16" s="762"/>
      <c r="M16" s="763"/>
      <c r="N16" s="770"/>
      <c r="O16" s="771"/>
      <c r="P16" s="771"/>
      <c r="Q16" s="771"/>
      <c r="R16" s="771"/>
      <c r="S16" s="771"/>
      <c r="T16" s="772"/>
    </row>
    <row r="17" spans="1:20" ht="24.95" customHeight="1">
      <c r="A17" s="790" t="s">
        <v>2991</v>
      </c>
      <c r="B17" s="791"/>
      <c r="C17" s="792"/>
      <c r="D17" s="350" t="str">
        <f ca="1">TEXT(TODAY(),"ggg")</f>
        <v>令和</v>
      </c>
      <c r="E17" s="683"/>
      <c r="F17" s="350" t="s">
        <v>2822</v>
      </c>
      <c r="G17" s="683"/>
      <c r="H17" s="350" t="s">
        <v>2823</v>
      </c>
      <c r="I17" s="683"/>
      <c r="J17" s="349" t="s">
        <v>2824</v>
      </c>
      <c r="K17" s="760" t="s">
        <v>2992</v>
      </c>
      <c r="L17" s="760"/>
      <c r="M17" s="761"/>
      <c r="N17" s="767" t="str">
        <f>IF(cst_wskakunin_sekou1_JIMU_NAME="",cst_wskakunin_sekou1_NAME,cst_wskakunin_sekou1_JIMU_NAME&amp;"　"&amp;cst_wskakunin_sekou1_NAME)</f>
        <v>四辻木材興行株式会社　代表取締役　波夛野　賢</v>
      </c>
      <c r="O17" s="768"/>
      <c r="P17" s="768"/>
      <c r="Q17" s="768"/>
      <c r="R17" s="768"/>
      <c r="S17" s="768"/>
      <c r="T17" s="769"/>
    </row>
    <row r="18" spans="1:20" ht="24.95" customHeight="1">
      <c r="A18" s="782" t="s">
        <v>181</v>
      </c>
      <c r="B18" s="760"/>
      <c r="C18" s="761"/>
      <c r="D18" s="767" t="str">
        <f>cst_wskakunin_owner1__space</f>
        <v>猫山　花子</v>
      </c>
      <c r="E18" s="768"/>
      <c r="F18" s="768"/>
      <c r="G18" s="768"/>
      <c r="H18" s="768"/>
      <c r="I18" s="768"/>
      <c r="J18" s="776"/>
      <c r="K18" s="762"/>
      <c r="L18" s="762"/>
      <c r="M18" s="763"/>
      <c r="N18" s="770"/>
      <c r="O18" s="771"/>
      <c r="P18" s="771"/>
      <c r="Q18" s="771"/>
      <c r="R18" s="771"/>
      <c r="S18" s="771"/>
      <c r="T18" s="772"/>
    </row>
    <row r="19" spans="1:20" ht="24.95" customHeight="1">
      <c r="A19" s="783"/>
      <c r="B19" s="762"/>
      <c r="C19" s="763"/>
      <c r="D19" s="770"/>
      <c r="E19" s="771"/>
      <c r="F19" s="771"/>
      <c r="G19" s="771"/>
      <c r="H19" s="771"/>
      <c r="I19" s="771"/>
      <c r="J19" s="777"/>
      <c r="K19" s="754" t="s">
        <v>2993</v>
      </c>
      <c r="L19" s="754"/>
      <c r="M19" s="755"/>
      <c r="N19" s="367"/>
      <c r="O19" s="368"/>
      <c r="P19" s="368"/>
      <c r="Q19" s="368"/>
      <c r="R19" s="368"/>
      <c r="S19" s="368"/>
      <c r="T19" s="369"/>
    </row>
    <row r="20" spans="1:20" ht="24.95" customHeight="1">
      <c r="A20" s="782" t="s">
        <v>2994</v>
      </c>
      <c r="B20" s="760"/>
      <c r="C20" s="761"/>
      <c r="D20" s="767" t="str">
        <f>cst_wskakunin_BUILD__address</f>
        <v>大阪府茨木市山手台2-2-2</v>
      </c>
      <c r="E20" s="768"/>
      <c r="F20" s="768"/>
      <c r="G20" s="768"/>
      <c r="H20" s="768"/>
      <c r="I20" s="768"/>
      <c r="J20" s="776"/>
      <c r="K20" s="756"/>
      <c r="L20" s="756"/>
      <c r="M20" s="757"/>
      <c r="N20" s="370"/>
      <c r="O20" s="366"/>
      <c r="P20" s="366"/>
      <c r="Q20" s="366"/>
      <c r="R20" s="366"/>
      <c r="S20" s="366"/>
      <c r="T20" s="371"/>
    </row>
    <row r="21" spans="1:20" ht="24.95" customHeight="1">
      <c r="A21" s="783"/>
      <c r="B21" s="762"/>
      <c r="C21" s="763"/>
      <c r="D21" s="770"/>
      <c r="E21" s="771"/>
      <c r="F21" s="771"/>
      <c r="G21" s="771"/>
      <c r="H21" s="771"/>
      <c r="I21" s="771"/>
      <c r="J21" s="777"/>
      <c r="K21" s="758"/>
      <c r="L21" s="758"/>
      <c r="M21" s="759"/>
      <c r="N21" s="372"/>
      <c r="O21" s="373"/>
      <c r="P21" s="373"/>
      <c r="Q21" s="373"/>
      <c r="R21" s="373"/>
      <c r="S21" s="373"/>
      <c r="T21" s="374"/>
    </row>
    <row r="22" spans="1:20" ht="21.95" customHeight="1">
      <c r="A22" s="348" t="s">
        <v>2995</v>
      </c>
      <c r="B22" s="346"/>
      <c r="C22" s="346"/>
      <c r="D22" s="346"/>
      <c r="E22" s="346"/>
      <c r="F22" s="346"/>
      <c r="G22" s="346"/>
      <c r="H22" s="346"/>
      <c r="I22" s="346"/>
      <c r="J22" s="347"/>
      <c r="K22" s="346" t="s">
        <v>2996</v>
      </c>
      <c r="L22" s="346"/>
      <c r="M22" s="346"/>
      <c r="N22" s="346"/>
      <c r="O22" s="346"/>
      <c r="P22" s="346"/>
      <c r="Q22" s="346"/>
      <c r="R22" s="346"/>
      <c r="S22" s="346"/>
      <c r="T22" s="345"/>
    </row>
    <row r="23" spans="1:20" ht="21.95" customHeight="1">
      <c r="A23" s="344"/>
      <c r="B23" s="342"/>
      <c r="C23" s="342"/>
      <c r="D23" s="342"/>
      <c r="E23" s="342"/>
      <c r="F23" s="342"/>
      <c r="G23" s="342"/>
      <c r="H23" s="342"/>
      <c r="I23" s="342"/>
      <c r="J23" s="343"/>
      <c r="K23" s="342"/>
      <c r="L23" s="342"/>
      <c r="M23" s="342"/>
      <c r="N23" s="342"/>
      <c r="O23" s="342"/>
      <c r="P23" s="342"/>
      <c r="Q23" s="342"/>
      <c r="R23" s="342"/>
      <c r="S23" s="342"/>
      <c r="T23" s="341"/>
    </row>
    <row r="24" spans="1:20" ht="21.95" customHeight="1">
      <c r="A24" s="340"/>
      <c r="B24" s="338"/>
      <c r="C24" s="338"/>
      <c r="D24" s="338"/>
      <c r="E24" s="338"/>
      <c r="F24" s="338"/>
      <c r="G24" s="338"/>
      <c r="H24" s="338"/>
      <c r="I24" s="338"/>
      <c r="J24" s="339"/>
      <c r="K24" s="338"/>
      <c r="L24" s="338"/>
      <c r="M24" s="338"/>
      <c r="N24" s="338"/>
      <c r="O24" s="338"/>
      <c r="P24" s="338"/>
      <c r="Q24" s="338"/>
      <c r="R24" s="338"/>
      <c r="S24" s="338"/>
      <c r="T24" s="337"/>
    </row>
    <row r="25" spans="1:20" ht="21.95" customHeight="1">
      <c r="A25" s="340"/>
      <c r="B25" s="338"/>
      <c r="C25" s="338"/>
      <c r="D25" s="338"/>
      <c r="E25" s="338"/>
      <c r="F25" s="338"/>
      <c r="G25" s="338"/>
      <c r="H25" s="338"/>
      <c r="I25" s="338"/>
      <c r="J25" s="339"/>
      <c r="K25" s="338"/>
      <c r="L25" s="338"/>
      <c r="M25" s="338"/>
      <c r="N25" s="338"/>
      <c r="O25" s="338"/>
      <c r="P25" s="338"/>
      <c r="Q25" s="338"/>
      <c r="R25" s="338"/>
      <c r="S25" s="338"/>
      <c r="T25" s="337"/>
    </row>
    <row r="26" spans="1:20" ht="21.95" customHeight="1">
      <c r="A26" s="340"/>
      <c r="B26" s="338"/>
      <c r="C26" s="338"/>
      <c r="D26" s="338"/>
      <c r="E26" s="338"/>
      <c r="F26" s="338"/>
      <c r="G26" s="338"/>
      <c r="H26" s="338"/>
      <c r="I26" s="338"/>
      <c r="J26" s="339"/>
      <c r="K26" s="338"/>
      <c r="L26" s="338"/>
      <c r="M26" s="338"/>
      <c r="N26" s="338"/>
      <c r="O26" s="338"/>
      <c r="P26" s="338"/>
      <c r="Q26" s="338"/>
      <c r="R26" s="338"/>
      <c r="S26" s="338"/>
      <c r="T26" s="337"/>
    </row>
    <row r="27" spans="1:20" ht="21.95" customHeight="1">
      <c r="A27" s="340"/>
      <c r="B27" s="338"/>
      <c r="C27" s="338"/>
      <c r="D27" s="338"/>
      <c r="E27" s="338"/>
      <c r="F27" s="338"/>
      <c r="G27" s="338"/>
      <c r="H27" s="338"/>
      <c r="I27" s="338"/>
      <c r="J27" s="339"/>
      <c r="K27" s="338"/>
      <c r="L27" s="338"/>
      <c r="M27" s="338"/>
      <c r="N27" s="338"/>
      <c r="O27" s="338"/>
      <c r="P27" s="338"/>
      <c r="Q27" s="338"/>
      <c r="R27" s="338"/>
      <c r="S27" s="338"/>
      <c r="T27" s="337"/>
    </row>
    <row r="28" spans="1:20" ht="21.95" customHeight="1">
      <c r="A28" s="340"/>
      <c r="B28" s="338"/>
      <c r="C28" s="338"/>
      <c r="D28" s="338"/>
      <c r="E28" s="338"/>
      <c r="F28" s="338"/>
      <c r="G28" s="338"/>
      <c r="H28" s="338"/>
      <c r="I28" s="338"/>
      <c r="J28" s="339"/>
      <c r="K28" s="338"/>
      <c r="L28" s="338"/>
      <c r="M28" s="338"/>
      <c r="N28" s="338"/>
      <c r="O28" s="338"/>
      <c r="P28" s="338"/>
      <c r="Q28" s="338"/>
      <c r="R28" s="338"/>
      <c r="S28" s="338"/>
      <c r="T28" s="337"/>
    </row>
    <row r="29" spans="1:20" ht="21.95" customHeight="1">
      <c r="A29" s="340"/>
      <c r="B29" s="338"/>
      <c r="C29" s="338"/>
      <c r="D29" s="338"/>
      <c r="E29" s="338"/>
      <c r="F29" s="338"/>
      <c r="G29" s="338"/>
      <c r="H29" s="338"/>
      <c r="I29" s="338"/>
      <c r="J29" s="339"/>
      <c r="K29" s="338"/>
      <c r="L29" s="338"/>
      <c r="M29" s="338"/>
      <c r="N29" s="338"/>
      <c r="O29" s="338"/>
      <c r="P29" s="338"/>
      <c r="Q29" s="338"/>
      <c r="R29" s="338"/>
      <c r="S29" s="338"/>
      <c r="T29" s="337"/>
    </row>
    <row r="30" spans="1:20" ht="21.95" customHeight="1">
      <c r="A30" s="340"/>
      <c r="B30" s="338"/>
      <c r="C30" s="338"/>
      <c r="D30" s="338"/>
      <c r="E30" s="338"/>
      <c r="F30" s="338"/>
      <c r="G30" s="338"/>
      <c r="H30" s="338"/>
      <c r="I30" s="338"/>
      <c r="J30" s="339"/>
      <c r="K30" s="338"/>
      <c r="L30" s="338"/>
      <c r="M30" s="338"/>
      <c r="N30" s="338"/>
      <c r="O30" s="338"/>
      <c r="P30" s="338"/>
      <c r="Q30" s="338"/>
      <c r="R30" s="338"/>
      <c r="S30" s="338"/>
      <c r="T30" s="337"/>
    </row>
    <row r="31" spans="1:20" ht="21.95" customHeight="1">
      <c r="A31" s="340"/>
      <c r="B31" s="338"/>
      <c r="C31" s="338"/>
      <c r="D31" s="338"/>
      <c r="E31" s="338"/>
      <c r="F31" s="338"/>
      <c r="G31" s="338"/>
      <c r="H31" s="338"/>
      <c r="I31" s="338"/>
      <c r="J31" s="339"/>
      <c r="K31" s="338"/>
      <c r="L31" s="338"/>
      <c r="M31" s="338"/>
      <c r="N31" s="338"/>
      <c r="O31" s="338"/>
      <c r="P31" s="338"/>
      <c r="Q31" s="338"/>
      <c r="R31" s="338"/>
      <c r="S31" s="338"/>
      <c r="T31" s="337"/>
    </row>
    <row r="32" spans="1:20" ht="21.95" customHeight="1">
      <c r="A32" s="340"/>
      <c r="B32" s="338"/>
      <c r="C32" s="338"/>
      <c r="D32" s="338"/>
      <c r="E32" s="338"/>
      <c r="F32" s="338"/>
      <c r="G32" s="338"/>
      <c r="H32" s="338"/>
      <c r="I32" s="338"/>
      <c r="J32" s="339"/>
      <c r="K32" s="338"/>
      <c r="L32" s="338"/>
      <c r="M32" s="338"/>
      <c r="N32" s="338"/>
      <c r="O32" s="338"/>
      <c r="P32" s="338"/>
      <c r="Q32" s="338"/>
      <c r="R32" s="338"/>
      <c r="S32" s="338"/>
      <c r="T32" s="337"/>
    </row>
    <row r="33" spans="1:20" ht="21.95" customHeight="1">
      <c r="A33" s="340"/>
      <c r="B33" s="338"/>
      <c r="C33" s="338"/>
      <c r="D33" s="338"/>
      <c r="E33" s="338"/>
      <c r="F33" s="338"/>
      <c r="G33" s="338"/>
      <c r="H33" s="338"/>
      <c r="I33" s="338"/>
      <c r="J33" s="339"/>
      <c r="K33" s="338"/>
      <c r="L33" s="338"/>
      <c r="M33" s="338"/>
      <c r="N33" s="338"/>
      <c r="O33" s="338"/>
      <c r="P33" s="338"/>
      <c r="Q33" s="338"/>
      <c r="R33" s="338"/>
      <c r="S33" s="338"/>
      <c r="T33" s="337"/>
    </row>
    <row r="34" spans="1:20" ht="21.95" customHeight="1">
      <c r="A34" s="340"/>
      <c r="B34" s="338"/>
      <c r="C34" s="338"/>
      <c r="D34" s="338"/>
      <c r="E34" s="338"/>
      <c r="F34" s="338"/>
      <c r="G34" s="338"/>
      <c r="H34" s="338"/>
      <c r="I34" s="338"/>
      <c r="J34" s="339"/>
      <c r="K34" s="338"/>
      <c r="L34" s="338"/>
      <c r="M34" s="338"/>
      <c r="N34" s="338"/>
      <c r="O34" s="338"/>
      <c r="P34" s="338"/>
      <c r="Q34" s="338"/>
      <c r="R34" s="338"/>
      <c r="S34" s="338"/>
      <c r="T34" s="337"/>
    </row>
    <row r="35" spans="1:20" ht="21.95" customHeight="1">
      <c r="A35" s="340"/>
      <c r="B35" s="338"/>
      <c r="C35" s="338"/>
      <c r="D35" s="338"/>
      <c r="E35" s="338"/>
      <c r="F35" s="338"/>
      <c r="G35" s="338"/>
      <c r="H35" s="338"/>
      <c r="I35" s="338"/>
      <c r="J35" s="339"/>
      <c r="K35" s="338"/>
      <c r="L35" s="338"/>
      <c r="M35" s="338"/>
      <c r="N35" s="338"/>
      <c r="O35" s="338"/>
      <c r="P35" s="338"/>
      <c r="Q35" s="338"/>
      <c r="R35" s="338"/>
      <c r="S35" s="338"/>
      <c r="T35" s="337"/>
    </row>
    <row r="36" spans="1:20" ht="21.95" customHeight="1">
      <c r="A36" s="340"/>
      <c r="B36" s="338"/>
      <c r="C36" s="338"/>
      <c r="D36" s="338"/>
      <c r="E36" s="338"/>
      <c r="F36" s="338"/>
      <c r="G36" s="338"/>
      <c r="H36" s="338"/>
      <c r="I36" s="338"/>
      <c r="J36" s="339"/>
      <c r="K36" s="338"/>
      <c r="L36" s="338"/>
      <c r="M36" s="338"/>
      <c r="N36" s="338"/>
      <c r="O36" s="338"/>
      <c r="P36" s="338"/>
      <c r="Q36" s="338"/>
      <c r="R36" s="338"/>
      <c r="S36" s="338"/>
      <c r="T36" s="337"/>
    </row>
    <row r="37" spans="1:20" ht="21.95" customHeight="1">
      <c r="A37" s="336"/>
      <c r="B37" s="334"/>
      <c r="C37" s="334"/>
      <c r="D37" s="334"/>
      <c r="E37" s="334"/>
      <c r="F37" s="334"/>
      <c r="G37" s="334"/>
      <c r="H37" s="334"/>
      <c r="I37" s="334"/>
      <c r="J37" s="335"/>
      <c r="K37" s="334"/>
      <c r="L37" s="334"/>
      <c r="M37" s="334"/>
      <c r="N37" s="334"/>
      <c r="O37" s="334"/>
      <c r="P37" s="334"/>
      <c r="Q37" s="334"/>
      <c r="R37" s="334"/>
      <c r="S37" s="334"/>
      <c r="T37" s="333"/>
    </row>
    <row r="38" spans="1:20" ht="21.95" customHeight="1">
      <c r="A38" s="332" t="s">
        <v>2997</v>
      </c>
    </row>
    <row r="39" spans="1:20" ht="24.95" customHeight="1"/>
    <row r="40" spans="1:20" ht="24.95" customHeight="1"/>
    <row r="41" spans="1:20" ht="24.95" customHeight="1"/>
  </sheetData>
  <mergeCells count="23">
    <mergeCell ref="A17:C17"/>
    <mergeCell ref="K17:M18"/>
    <mergeCell ref="A18:C19"/>
    <mergeCell ref="K19:M21"/>
    <mergeCell ref="A20:C21"/>
    <mergeCell ref="D18:J19"/>
    <mergeCell ref="D20:J21"/>
    <mergeCell ref="N13:T14"/>
    <mergeCell ref="N15:T16"/>
    <mergeCell ref="N17:T18"/>
    <mergeCell ref="R3:S3"/>
    <mergeCell ref="A13:C14"/>
    <mergeCell ref="D13:D14"/>
    <mergeCell ref="E13:E14"/>
    <mergeCell ref="F13:F14"/>
    <mergeCell ref="G13:G14"/>
    <mergeCell ref="H13:H14"/>
    <mergeCell ref="I13:I14"/>
    <mergeCell ref="J13:J14"/>
    <mergeCell ref="K13:M14"/>
    <mergeCell ref="A15:C16"/>
    <mergeCell ref="K15:M16"/>
    <mergeCell ref="F16:I16"/>
  </mergeCells>
  <phoneticPr fontId="7"/>
  <pageMargins left="1.1417322834645669" right="0.70866141732283472" top="0.74803149606299213" bottom="0.39370078740157483" header="0.31496062992125984" footer="0.31496062992125984"/>
  <pageSetup paperSize="9"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EAC5B-DFE6-42FF-A396-73AFA8F501F7}">
  <dimension ref="A1:T41"/>
  <sheetViews>
    <sheetView tabSelected="1" zoomScale="130" zoomScaleNormal="130" workbookViewId="0">
      <selection activeCell="H6" sqref="H6"/>
    </sheetView>
  </sheetViews>
  <sheetFormatPr defaultRowHeight="12.75"/>
  <cols>
    <col min="1" max="3" width="3.625" style="332" customWidth="1"/>
    <col min="4" max="10" width="4.125" style="332" customWidth="1"/>
    <col min="11" max="13" width="3.625" style="332" customWidth="1"/>
    <col min="14" max="20" width="4.125" style="332" customWidth="1"/>
    <col min="21" max="21" width="9" style="332" customWidth="1"/>
    <col min="22" max="16384" width="9" style="332"/>
  </cols>
  <sheetData>
    <row r="1" spans="1:20" ht="17.25">
      <c r="A1" s="357" t="s">
        <v>3241</v>
      </c>
      <c r="B1" s="356"/>
      <c r="C1" s="356"/>
      <c r="D1" s="356"/>
      <c r="E1" s="356"/>
      <c r="F1" s="356"/>
      <c r="G1" s="356"/>
      <c r="H1" s="356"/>
      <c r="I1" s="356"/>
      <c r="J1" s="356"/>
      <c r="K1" s="356"/>
      <c r="L1" s="356"/>
      <c r="M1" s="356"/>
      <c r="N1" s="356"/>
      <c r="O1" s="356"/>
      <c r="P1" s="356"/>
      <c r="Q1" s="356"/>
      <c r="R1" s="356"/>
      <c r="S1" s="356"/>
      <c r="T1" s="356"/>
    </row>
    <row r="2" spans="1:20">
      <c r="A2" s="355"/>
      <c r="B2" s="355"/>
      <c r="C2" s="355"/>
      <c r="D2" s="355"/>
      <c r="E2" s="355"/>
      <c r="F2" s="355"/>
      <c r="G2" s="355"/>
      <c r="H2" s="355"/>
      <c r="I2" s="355"/>
      <c r="J2" s="355"/>
      <c r="K2" s="355"/>
      <c r="L2" s="355"/>
      <c r="M2" s="355"/>
      <c r="N2" s="355"/>
      <c r="O2" s="355"/>
      <c r="P2" s="355"/>
      <c r="Q2" s="355"/>
      <c r="R2" s="355"/>
      <c r="S2" s="355"/>
      <c r="T2" s="355"/>
    </row>
    <row r="3" spans="1:20">
      <c r="N3" s="685"/>
      <c r="R3" s="686"/>
      <c r="S3" s="686"/>
    </row>
    <row r="5" spans="1:20">
      <c r="N5" s="332" t="str">
        <f ca="1">TEXT(TODAY(),"ggg")</f>
        <v>令和</v>
      </c>
      <c r="O5" s="365"/>
      <c r="P5" s="332" t="s">
        <v>2822</v>
      </c>
      <c r="Q5" s="365"/>
      <c r="R5" s="332" t="s">
        <v>2823</v>
      </c>
      <c r="S5" s="365"/>
      <c r="T5" s="332" t="s">
        <v>2824</v>
      </c>
    </row>
    <row r="7" spans="1:20">
      <c r="A7" s="332" t="s">
        <v>2984</v>
      </c>
    </row>
    <row r="9" spans="1:20">
      <c r="B9" s="797" t="s">
        <v>3242</v>
      </c>
      <c r="C9" s="798"/>
      <c r="D9" s="798"/>
      <c r="E9" s="798"/>
      <c r="F9" s="798"/>
      <c r="G9" s="798"/>
      <c r="H9" s="798"/>
      <c r="I9" s="798"/>
      <c r="J9" s="798"/>
      <c r="K9" s="798"/>
      <c r="L9" s="798"/>
      <c r="M9" s="798"/>
      <c r="N9" s="798"/>
      <c r="O9" s="798"/>
      <c r="P9" s="798"/>
      <c r="Q9" s="798"/>
      <c r="R9" s="798"/>
    </row>
    <row r="10" spans="1:20">
      <c r="B10" s="332" t="s">
        <v>3243</v>
      </c>
    </row>
    <row r="13" spans="1:20" ht="24.95" customHeight="1">
      <c r="A13" s="778" t="s">
        <v>3244</v>
      </c>
      <c r="B13" s="779"/>
      <c r="C13" s="780"/>
      <c r="D13" s="788" t="str">
        <f ca="1">TEXT(TODAY(),"ggg")</f>
        <v>令和</v>
      </c>
      <c r="E13" s="784"/>
      <c r="F13" s="765" t="s">
        <v>2822</v>
      </c>
      <c r="G13" s="786"/>
      <c r="H13" s="765" t="s">
        <v>2823</v>
      </c>
      <c r="I13" s="795"/>
      <c r="J13" s="766" t="s">
        <v>2824</v>
      </c>
      <c r="K13" s="765" t="s">
        <v>2988</v>
      </c>
      <c r="L13" s="765"/>
      <c r="M13" s="766"/>
      <c r="N13" s="773"/>
      <c r="O13" s="774"/>
      <c r="P13" s="774"/>
      <c r="Q13" s="774"/>
      <c r="R13" s="774"/>
      <c r="S13" s="774"/>
      <c r="T13" s="775"/>
    </row>
    <row r="14" spans="1:20" ht="24.95" customHeight="1">
      <c r="A14" s="781"/>
      <c r="B14" s="758"/>
      <c r="C14" s="759"/>
      <c r="D14" s="789"/>
      <c r="E14" s="785"/>
      <c r="F14" s="762"/>
      <c r="G14" s="787"/>
      <c r="H14" s="762"/>
      <c r="I14" s="796"/>
      <c r="J14" s="763"/>
      <c r="K14" s="762"/>
      <c r="L14" s="762"/>
      <c r="M14" s="763"/>
      <c r="N14" s="770"/>
      <c r="O14" s="771"/>
      <c r="P14" s="771"/>
      <c r="Q14" s="771"/>
      <c r="R14" s="771"/>
      <c r="S14" s="771"/>
      <c r="T14" s="772"/>
    </row>
    <row r="15" spans="1:20" ht="24.95" customHeight="1">
      <c r="A15" s="793" t="s">
        <v>3245</v>
      </c>
      <c r="B15" s="754"/>
      <c r="C15" s="799"/>
      <c r="D15" s="332" t="s">
        <v>2982</v>
      </c>
      <c r="E15" s="684"/>
      <c r="F15" s="332" t="s">
        <v>3246</v>
      </c>
      <c r="J15" s="353"/>
      <c r="K15" s="760" t="s">
        <v>2828</v>
      </c>
      <c r="L15" s="760"/>
      <c r="M15" s="761"/>
      <c r="N15" s="767"/>
      <c r="O15" s="768"/>
      <c r="P15" s="768"/>
      <c r="Q15" s="768"/>
      <c r="R15" s="768"/>
      <c r="S15" s="768"/>
      <c r="T15" s="769"/>
    </row>
    <row r="16" spans="1:20" ht="24.95" customHeight="1">
      <c r="A16" s="781"/>
      <c r="B16" s="758"/>
      <c r="C16" s="759"/>
      <c r="D16" s="352"/>
      <c r="E16" s="352"/>
      <c r="F16" s="794"/>
      <c r="G16" s="794"/>
      <c r="H16" s="794"/>
      <c r="I16" s="794"/>
      <c r="J16" s="351" t="s">
        <v>2762</v>
      </c>
      <c r="K16" s="762"/>
      <c r="L16" s="762"/>
      <c r="M16" s="763"/>
      <c r="N16" s="770"/>
      <c r="O16" s="771"/>
      <c r="P16" s="771"/>
      <c r="Q16" s="771"/>
      <c r="R16" s="771"/>
      <c r="S16" s="771"/>
      <c r="T16" s="772"/>
    </row>
    <row r="17" spans="1:20" ht="24.95" customHeight="1">
      <c r="A17" s="790" t="s">
        <v>2991</v>
      </c>
      <c r="B17" s="791"/>
      <c r="C17" s="792"/>
      <c r="D17" s="350" t="str">
        <f ca="1">TEXT(TODAY(),"ggg")</f>
        <v>令和</v>
      </c>
      <c r="E17" s="683"/>
      <c r="F17" s="350" t="s">
        <v>2822</v>
      </c>
      <c r="G17" s="683"/>
      <c r="H17" s="350" t="s">
        <v>2823</v>
      </c>
      <c r="I17" s="683"/>
      <c r="J17" s="349" t="s">
        <v>2824</v>
      </c>
      <c r="K17" s="760" t="s">
        <v>2992</v>
      </c>
      <c r="L17" s="760"/>
      <c r="M17" s="761"/>
      <c r="N17" s="767"/>
      <c r="O17" s="768"/>
      <c r="P17" s="768"/>
      <c r="Q17" s="768"/>
      <c r="R17" s="768"/>
      <c r="S17" s="768"/>
      <c r="T17" s="769"/>
    </row>
    <row r="18" spans="1:20" ht="24.95" customHeight="1">
      <c r="A18" s="782" t="s">
        <v>181</v>
      </c>
      <c r="B18" s="760"/>
      <c r="C18" s="761"/>
      <c r="D18" s="767"/>
      <c r="E18" s="768"/>
      <c r="F18" s="768"/>
      <c r="G18" s="768"/>
      <c r="H18" s="768"/>
      <c r="I18" s="768"/>
      <c r="J18" s="776"/>
      <c r="K18" s="762"/>
      <c r="L18" s="762"/>
      <c r="M18" s="763"/>
      <c r="N18" s="770"/>
      <c r="O18" s="771"/>
      <c r="P18" s="771"/>
      <c r="Q18" s="771"/>
      <c r="R18" s="771"/>
      <c r="S18" s="771"/>
      <c r="T18" s="772"/>
    </row>
    <row r="19" spans="1:20" ht="24.95" customHeight="1">
      <c r="A19" s="783"/>
      <c r="B19" s="762"/>
      <c r="C19" s="763"/>
      <c r="D19" s="770"/>
      <c r="E19" s="771"/>
      <c r="F19" s="771"/>
      <c r="G19" s="771"/>
      <c r="H19" s="771"/>
      <c r="I19" s="771"/>
      <c r="J19" s="777"/>
      <c r="K19" s="754" t="s">
        <v>2993</v>
      </c>
      <c r="L19" s="754"/>
      <c r="M19" s="755"/>
      <c r="N19" s="367"/>
      <c r="O19" s="368"/>
      <c r="P19" s="368"/>
      <c r="Q19" s="368"/>
      <c r="R19" s="368"/>
      <c r="S19" s="368"/>
      <c r="T19" s="369"/>
    </row>
    <row r="20" spans="1:20" ht="24.95" customHeight="1">
      <c r="A20" s="782" t="s">
        <v>2994</v>
      </c>
      <c r="B20" s="760"/>
      <c r="C20" s="761"/>
      <c r="D20" s="767"/>
      <c r="E20" s="768"/>
      <c r="F20" s="768"/>
      <c r="G20" s="768"/>
      <c r="H20" s="768"/>
      <c r="I20" s="768"/>
      <c r="J20" s="776"/>
      <c r="K20" s="756"/>
      <c r="L20" s="756"/>
      <c r="M20" s="757"/>
      <c r="N20" s="370"/>
      <c r="O20" s="366"/>
      <c r="P20" s="366"/>
      <c r="Q20" s="366"/>
      <c r="R20" s="366"/>
      <c r="S20" s="366"/>
      <c r="T20" s="371"/>
    </row>
    <row r="21" spans="1:20" ht="24.95" customHeight="1">
      <c r="A21" s="783"/>
      <c r="B21" s="762"/>
      <c r="C21" s="763"/>
      <c r="D21" s="770"/>
      <c r="E21" s="771"/>
      <c r="F21" s="771"/>
      <c r="G21" s="771"/>
      <c r="H21" s="771"/>
      <c r="I21" s="771"/>
      <c r="J21" s="777"/>
      <c r="K21" s="758"/>
      <c r="L21" s="758"/>
      <c r="M21" s="759"/>
      <c r="N21" s="372"/>
      <c r="O21" s="373"/>
      <c r="P21" s="373"/>
      <c r="Q21" s="373"/>
      <c r="R21" s="373"/>
      <c r="S21" s="373"/>
      <c r="T21" s="374"/>
    </row>
    <row r="22" spans="1:20" ht="21.95" customHeight="1">
      <c r="A22" s="348" t="s">
        <v>2995</v>
      </c>
      <c r="B22" s="346"/>
      <c r="C22" s="346"/>
      <c r="D22" s="346"/>
      <c r="E22" s="346"/>
      <c r="F22" s="346"/>
      <c r="G22" s="346"/>
      <c r="H22" s="346"/>
      <c r="I22" s="346"/>
      <c r="J22" s="347"/>
      <c r="K22" s="346" t="s">
        <v>2996</v>
      </c>
      <c r="L22" s="346"/>
      <c r="M22" s="346"/>
      <c r="N22" s="346"/>
      <c r="O22" s="346"/>
      <c r="P22" s="346"/>
      <c r="Q22" s="346"/>
      <c r="R22" s="346"/>
      <c r="S22" s="346"/>
      <c r="T22" s="345"/>
    </row>
    <row r="23" spans="1:20" ht="21.95" customHeight="1">
      <c r="A23" s="344"/>
      <c r="B23" s="342"/>
      <c r="C23" s="342"/>
      <c r="D23" s="342"/>
      <c r="E23" s="342"/>
      <c r="F23" s="342"/>
      <c r="G23" s="342"/>
      <c r="H23" s="342"/>
      <c r="I23" s="342"/>
      <c r="J23" s="343"/>
      <c r="K23" s="342"/>
      <c r="L23" s="342"/>
      <c r="M23" s="342"/>
      <c r="N23" s="342"/>
      <c r="O23" s="342"/>
      <c r="P23" s="342"/>
      <c r="Q23" s="342"/>
      <c r="R23" s="342"/>
      <c r="S23" s="342"/>
      <c r="T23" s="341"/>
    </row>
    <row r="24" spans="1:20" ht="21.95" customHeight="1">
      <c r="A24" s="340"/>
      <c r="B24" s="338"/>
      <c r="C24" s="338"/>
      <c r="D24" s="338"/>
      <c r="E24" s="338"/>
      <c r="F24" s="338"/>
      <c r="G24" s="338"/>
      <c r="H24" s="338"/>
      <c r="I24" s="338"/>
      <c r="J24" s="339"/>
      <c r="K24" s="338"/>
      <c r="L24" s="338"/>
      <c r="M24" s="338"/>
      <c r="N24" s="338"/>
      <c r="O24" s="338"/>
      <c r="P24" s="338"/>
      <c r="Q24" s="338"/>
      <c r="R24" s="338"/>
      <c r="S24" s="338"/>
      <c r="T24" s="337"/>
    </row>
    <row r="25" spans="1:20" ht="21.95" customHeight="1">
      <c r="A25" s="340"/>
      <c r="B25" s="338"/>
      <c r="C25" s="338"/>
      <c r="D25" s="338"/>
      <c r="E25" s="338"/>
      <c r="F25" s="338"/>
      <c r="G25" s="338"/>
      <c r="H25" s="338"/>
      <c r="I25" s="338"/>
      <c r="J25" s="339"/>
      <c r="K25" s="338"/>
      <c r="L25" s="338"/>
      <c r="M25" s="338"/>
      <c r="N25" s="338"/>
      <c r="O25" s="338"/>
      <c r="P25" s="338"/>
      <c r="Q25" s="338"/>
      <c r="R25" s="338"/>
      <c r="S25" s="338"/>
      <c r="T25" s="337"/>
    </row>
    <row r="26" spans="1:20" ht="21.95" customHeight="1">
      <c r="A26" s="340"/>
      <c r="B26" s="338"/>
      <c r="C26" s="338"/>
      <c r="D26" s="338"/>
      <c r="E26" s="338"/>
      <c r="F26" s="338"/>
      <c r="G26" s="338"/>
      <c r="H26" s="338"/>
      <c r="I26" s="338"/>
      <c r="J26" s="339"/>
      <c r="K26" s="338"/>
      <c r="L26" s="338"/>
      <c r="M26" s="338"/>
      <c r="N26" s="338"/>
      <c r="O26" s="338"/>
      <c r="P26" s="338"/>
      <c r="Q26" s="338"/>
      <c r="R26" s="338"/>
      <c r="S26" s="338"/>
      <c r="T26" s="337"/>
    </row>
    <row r="27" spans="1:20" ht="21.95" customHeight="1">
      <c r="A27" s="340"/>
      <c r="B27" s="338"/>
      <c r="C27" s="338"/>
      <c r="D27" s="338"/>
      <c r="E27" s="338"/>
      <c r="F27" s="338"/>
      <c r="G27" s="338"/>
      <c r="H27" s="338"/>
      <c r="I27" s="338"/>
      <c r="J27" s="339"/>
      <c r="K27" s="338"/>
      <c r="L27" s="338"/>
      <c r="M27" s="338"/>
      <c r="N27" s="338"/>
      <c r="O27" s="338"/>
      <c r="P27" s="338"/>
      <c r="Q27" s="338"/>
      <c r="R27" s="338"/>
      <c r="S27" s="338"/>
      <c r="T27" s="337"/>
    </row>
    <row r="28" spans="1:20" ht="21.95" customHeight="1">
      <c r="A28" s="340"/>
      <c r="B28" s="338"/>
      <c r="C28" s="338"/>
      <c r="D28" s="338"/>
      <c r="E28" s="338"/>
      <c r="F28" s="338"/>
      <c r="G28" s="338"/>
      <c r="H28" s="338"/>
      <c r="I28" s="338"/>
      <c r="J28" s="339"/>
      <c r="K28" s="338"/>
      <c r="L28" s="338"/>
      <c r="M28" s="338"/>
      <c r="N28" s="338"/>
      <c r="O28" s="338"/>
      <c r="P28" s="338"/>
      <c r="Q28" s="338"/>
      <c r="R28" s="338"/>
      <c r="S28" s="338"/>
      <c r="T28" s="337"/>
    </row>
    <row r="29" spans="1:20" ht="21.95" customHeight="1">
      <c r="A29" s="340"/>
      <c r="B29" s="338"/>
      <c r="C29" s="338"/>
      <c r="D29" s="338"/>
      <c r="E29" s="338"/>
      <c r="F29" s="338"/>
      <c r="G29" s="338"/>
      <c r="H29" s="338"/>
      <c r="I29" s="338"/>
      <c r="J29" s="339"/>
      <c r="K29" s="338"/>
      <c r="L29" s="338"/>
      <c r="M29" s="338"/>
      <c r="N29" s="338"/>
      <c r="O29" s="338"/>
      <c r="P29" s="338"/>
      <c r="Q29" s="338"/>
      <c r="R29" s="338"/>
      <c r="S29" s="338"/>
      <c r="T29" s="337"/>
    </row>
    <row r="30" spans="1:20" ht="21.95" customHeight="1">
      <c r="A30" s="340"/>
      <c r="B30" s="338"/>
      <c r="C30" s="338"/>
      <c r="D30" s="338"/>
      <c r="E30" s="338"/>
      <c r="F30" s="338"/>
      <c r="G30" s="338"/>
      <c r="H30" s="338"/>
      <c r="I30" s="338"/>
      <c r="J30" s="339"/>
      <c r="K30" s="338"/>
      <c r="L30" s="338"/>
      <c r="M30" s="338"/>
      <c r="N30" s="338"/>
      <c r="O30" s="338"/>
      <c r="P30" s="338"/>
      <c r="Q30" s="338"/>
      <c r="R30" s="338"/>
      <c r="S30" s="338"/>
      <c r="T30" s="337"/>
    </row>
    <row r="31" spans="1:20" ht="21.95" customHeight="1">
      <c r="A31" s="340"/>
      <c r="B31" s="338"/>
      <c r="C31" s="338"/>
      <c r="D31" s="338"/>
      <c r="E31" s="338"/>
      <c r="F31" s="338"/>
      <c r="G31" s="338"/>
      <c r="H31" s="338"/>
      <c r="I31" s="338"/>
      <c r="J31" s="339"/>
      <c r="K31" s="338"/>
      <c r="L31" s="338"/>
      <c r="M31" s="338"/>
      <c r="N31" s="338"/>
      <c r="O31" s="338"/>
      <c r="P31" s="338"/>
      <c r="Q31" s="338"/>
      <c r="R31" s="338"/>
      <c r="S31" s="338"/>
      <c r="T31" s="337"/>
    </row>
    <row r="32" spans="1:20" ht="21.95" customHeight="1">
      <c r="A32" s="340"/>
      <c r="B32" s="338"/>
      <c r="C32" s="338"/>
      <c r="D32" s="338"/>
      <c r="E32" s="338"/>
      <c r="F32" s="338"/>
      <c r="G32" s="338"/>
      <c r="H32" s="338"/>
      <c r="I32" s="338"/>
      <c r="J32" s="339"/>
      <c r="K32" s="338"/>
      <c r="L32" s="338"/>
      <c r="M32" s="338"/>
      <c r="N32" s="338"/>
      <c r="O32" s="338"/>
      <c r="P32" s="338"/>
      <c r="Q32" s="338"/>
      <c r="R32" s="338"/>
      <c r="S32" s="338"/>
      <c r="T32" s="337"/>
    </row>
    <row r="33" spans="1:20" ht="21.95" customHeight="1">
      <c r="A33" s="340"/>
      <c r="B33" s="338"/>
      <c r="C33" s="338"/>
      <c r="D33" s="338"/>
      <c r="E33" s="338"/>
      <c r="F33" s="338"/>
      <c r="G33" s="338"/>
      <c r="H33" s="338"/>
      <c r="I33" s="338"/>
      <c r="J33" s="339"/>
      <c r="K33" s="338"/>
      <c r="L33" s="338"/>
      <c r="M33" s="338"/>
      <c r="N33" s="338"/>
      <c r="O33" s="338"/>
      <c r="P33" s="338"/>
      <c r="Q33" s="338"/>
      <c r="R33" s="338"/>
      <c r="S33" s="338"/>
      <c r="T33" s="337"/>
    </row>
    <row r="34" spans="1:20" ht="21.95" customHeight="1">
      <c r="A34" s="340"/>
      <c r="B34" s="338"/>
      <c r="C34" s="338"/>
      <c r="D34" s="338"/>
      <c r="E34" s="338"/>
      <c r="F34" s="338"/>
      <c r="G34" s="338"/>
      <c r="H34" s="338"/>
      <c r="I34" s="338"/>
      <c r="J34" s="339"/>
      <c r="K34" s="338"/>
      <c r="L34" s="338"/>
      <c r="M34" s="338"/>
      <c r="N34" s="338"/>
      <c r="O34" s="338"/>
      <c r="P34" s="338"/>
      <c r="Q34" s="338"/>
      <c r="R34" s="338"/>
      <c r="S34" s="338"/>
      <c r="T34" s="337"/>
    </row>
    <row r="35" spans="1:20" ht="21.95" customHeight="1">
      <c r="A35" s="340"/>
      <c r="B35" s="338"/>
      <c r="C35" s="338"/>
      <c r="D35" s="338"/>
      <c r="E35" s="338"/>
      <c r="F35" s="338"/>
      <c r="G35" s="338"/>
      <c r="H35" s="338"/>
      <c r="I35" s="338"/>
      <c r="J35" s="339"/>
      <c r="K35" s="338"/>
      <c r="L35" s="338"/>
      <c r="M35" s="338"/>
      <c r="N35" s="338"/>
      <c r="O35" s="338"/>
      <c r="P35" s="338"/>
      <c r="Q35" s="338"/>
      <c r="R35" s="338"/>
      <c r="S35" s="338"/>
      <c r="T35" s="337"/>
    </row>
    <row r="36" spans="1:20" ht="21.95" customHeight="1">
      <c r="A36" s="340"/>
      <c r="B36" s="338"/>
      <c r="C36" s="338"/>
      <c r="D36" s="338"/>
      <c r="E36" s="338"/>
      <c r="F36" s="338"/>
      <c r="G36" s="338"/>
      <c r="H36" s="338"/>
      <c r="I36" s="338"/>
      <c r="J36" s="339"/>
      <c r="K36" s="338"/>
      <c r="L36" s="338"/>
      <c r="M36" s="338"/>
      <c r="N36" s="338"/>
      <c r="O36" s="338"/>
      <c r="P36" s="338"/>
      <c r="Q36" s="338"/>
      <c r="R36" s="338"/>
      <c r="S36" s="338"/>
      <c r="T36" s="337"/>
    </row>
    <row r="37" spans="1:20" ht="21.95" customHeight="1">
      <c r="A37" s="336"/>
      <c r="B37" s="334"/>
      <c r="C37" s="334"/>
      <c r="D37" s="334"/>
      <c r="E37" s="334"/>
      <c r="F37" s="334"/>
      <c r="G37" s="334"/>
      <c r="H37" s="334"/>
      <c r="I37" s="334"/>
      <c r="J37" s="335"/>
      <c r="K37" s="334"/>
      <c r="L37" s="334"/>
      <c r="M37" s="334"/>
      <c r="N37" s="334"/>
      <c r="O37" s="334"/>
      <c r="P37" s="334"/>
      <c r="Q37" s="334"/>
      <c r="R37" s="334"/>
      <c r="S37" s="334"/>
      <c r="T37" s="333"/>
    </row>
    <row r="38" spans="1:20" ht="21.95" customHeight="1">
      <c r="A38" s="332" t="s">
        <v>2997</v>
      </c>
    </row>
    <row r="39" spans="1:20" ht="24.95" customHeight="1"/>
    <row r="40" spans="1:20" ht="24.95" customHeight="1"/>
    <row r="41" spans="1:20" ht="24.95" customHeight="1"/>
  </sheetData>
  <mergeCells count="23">
    <mergeCell ref="A17:C17"/>
    <mergeCell ref="K17:M18"/>
    <mergeCell ref="A18:C19"/>
    <mergeCell ref="K19:M21"/>
    <mergeCell ref="A20:C21"/>
    <mergeCell ref="D18:J19"/>
    <mergeCell ref="D20:J21"/>
    <mergeCell ref="B9:R9"/>
    <mergeCell ref="N13:T14"/>
    <mergeCell ref="N15:T16"/>
    <mergeCell ref="N17:T18"/>
    <mergeCell ref="A13:C14"/>
    <mergeCell ref="D13:D14"/>
    <mergeCell ref="E13:E14"/>
    <mergeCell ref="F13:F14"/>
    <mergeCell ref="G13:G14"/>
    <mergeCell ref="H13:H14"/>
    <mergeCell ref="I13:I14"/>
    <mergeCell ref="J13:J14"/>
    <mergeCell ref="K13:M14"/>
    <mergeCell ref="A15:C16"/>
    <mergeCell ref="K15:M16"/>
    <mergeCell ref="F16:I16"/>
  </mergeCells>
  <phoneticPr fontId="7"/>
  <pageMargins left="1.1417322834645669" right="0.70866141732283472" top="0.74803149606299213" bottom="0.39370078740157483" header="0.31496062992125984" footer="0.31496062992125984"/>
  <pageSetup paperSize="9"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995A-868C-4FB6-BE77-A36A2A0C58D4}">
  <dimension ref="A1:T39"/>
  <sheetViews>
    <sheetView zoomScale="130" zoomScaleNormal="130" workbookViewId="0"/>
  </sheetViews>
  <sheetFormatPr defaultRowHeight="12.75"/>
  <cols>
    <col min="1" max="3" width="3.625" style="332" customWidth="1"/>
    <col min="4" max="10" width="4.125" style="332" customWidth="1"/>
    <col min="11" max="13" width="3.625" style="332" customWidth="1"/>
    <col min="14" max="20" width="4.125" style="332" customWidth="1"/>
    <col min="21" max="21" width="9" style="332" customWidth="1"/>
    <col min="22" max="16384" width="9" style="332"/>
  </cols>
  <sheetData>
    <row r="1" spans="1:20" ht="21.95" customHeight="1">
      <c r="A1" s="363" t="s">
        <v>2995</v>
      </c>
      <c r="B1" s="346"/>
      <c r="C1" s="346"/>
      <c r="D1" s="346"/>
      <c r="E1" s="346"/>
      <c r="F1" s="346"/>
      <c r="G1" s="346"/>
      <c r="H1" s="346"/>
      <c r="I1" s="346"/>
      <c r="J1" s="347"/>
      <c r="K1" s="346" t="s">
        <v>2996</v>
      </c>
      <c r="L1" s="346"/>
      <c r="M1" s="346"/>
      <c r="N1" s="346"/>
      <c r="O1" s="346"/>
      <c r="P1" s="346"/>
      <c r="Q1" s="346"/>
      <c r="R1" s="346"/>
      <c r="S1" s="346"/>
      <c r="T1" s="347"/>
    </row>
    <row r="2" spans="1:20" ht="21.95" customHeight="1">
      <c r="A2" s="362"/>
      <c r="B2" s="342"/>
      <c r="C2" s="342"/>
      <c r="D2" s="342"/>
      <c r="E2" s="342"/>
      <c r="F2" s="342"/>
      <c r="G2" s="342"/>
      <c r="H2" s="342"/>
      <c r="I2" s="342"/>
      <c r="J2" s="343"/>
      <c r="K2" s="342"/>
      <c r="L2" s="342"/>
      <c r="M2" s="342"/>
      <c r="N2" s="342"/>
      <c r="O2" s="342"/>
      <c r="P2" s="342"/>
      <c r="Q2" s="342"/>
      <c r="R2" s="342"/>
      <c r="S2" s="342"/>
      <c r="T2" s="343"/>
    </row>
    <row r="3" spans="1:20" ht="21.95" customHeight="1">
      <c r="A3" s="361"/>
      <c r="B3" s="338"/>
      <c r="C3" s="338"/>
      <c r="D3" s="338"/>
      <c r="E3" s="338"/>
      <c r="F3" s="338"/>
      <c r="G3" s="338"/>
      <c r="H3" s="338"/>
      <c r="I3" s="338"/>
      <c r="J3" s="339"/>
      <c r="K3" s="338"/>
      <c r="L3" s="338"/>
      <c r="M3" s="338"/>
      <c r="N3" s="338"/>
      <c r="O3" s="338"/>
      <c r="P3" s="338"/>
      <c r="Q3" s="338"/>
      <c r="R3" s="338"/>
      <c r="S3" s="338"/>
      <c r="T3" s="339"/>
    </row>
    <row r="4" spans="1:20" ht="21.95" customHeight="1">
      <c r="A4" s="361"/>
      <c r="B4" s="338"/>
      <c r="C4" s="338"/>
      <c r="D4" s="338"/>
      <c r="E4" s="338"/>
      <c r="F4" s="338"/>
      <c r="G4" s="338"/>
      <c r="H4" s="338"/>
      <c r="I4" s="338"/>
      <c r="J4" s="339"/>
      <c r="K4" s="338"/>
      <c r="L4" s="338"/>
      <c r="M4" s="338"/>
      <c r="N4" s="338"/>
      <c r="O4" s="338"/>
      <c r="P4" s="338"/>
      <c r="Q4" s="338"/>
      <c r="R4" s="338"/>
      <c r="S4" s="338"/>
      <c r="T4" s="339"/>
    </row>
    <row r="5" spans="1:20" ht="21.95" customHeight="1">
      <c r="A5" s="361"/>
      <c r="B5" s="338"/>
      <c r="C5" s="338"/>
      <c r="D5" s="338"/>
      <c r="E5" s="338"/>
      <c r="F5" s="338"/>
      <c r="G5" s="338"/>
      <c r="H5" s="338"/>
      <c r="I5" s="338"/>
      <c r="J5" s="339"/>
      <c r="K5" s="338"/>
      <c r="L5" s="338"/>
      <c r="M5" s="338"/>
      <c r="N5" s="338"/>
      <c r="O5" s="338"/>
      <c r="P5" s="338"/>
      <c r="Q5" s="338"/>
      <c r="R5" s="338"/>
      <c r="S5" s="338"/>
      <c r="T5" s="339"/>
    </row>
    <row r="6" spans="1:20" ht="21.95" customHeight="1">
      <c r="A6" s="361"/>
      <c r="B6" s="338"/>
      <c r="C6" s="338"/>
      <c r="D6" s="338"/>
      <c r="E6" s="338"/>
      <c r="F6" s="338"/>
      <c r="G6" s="338"/>
      <c r="H6" s="338"/>
      <c r="I6" s="338"/>
      <c r="J6" s="339"/>
      <c r="K6" s="338"/>
      <c r="L6" s="338"/>
      <c r="M6" s="338"/>
      <c r="N6" s="338"/>
      <c r="O6" s="338"/>
      <c r="P6" s="338"/>
      <c r="Q6" s="338"/>
      <c r="R6" s="338"/>
      <c r="S6" s="338"/>
      <c r="T6" s="339"/>
    </row>
    <row r="7" spans="1:20" ht="21.95" customHeight="1">
      <c r="A7" s="361"/>
      <c r="B7" s="338"/>
      <c r="C7" s="338"/>
      <c r="D7" s="338"/>
      <c r="E7" s="338"/>
      <c r="F7" s="338"/>
      <c r="G7" s="338"/>
      <c r="H7" s="338"/>
      <c r="I7" s="338"/>
      <c r="J7" s="339"/>
      <c r="K7" s="338"/>
      <c r="L7" s="338"/>
      <c r="M7" s="338"/>
      <c r="N7" s="338"/>
      <c r="O7" s="338"/>
      <c r="P7" s="338"/>
      <c r="Q7" s="338"/>
      <c r="R7" s="338"/>
      <c r="S7" s="338"/>
      <c r="T7" s="339"/>
    </row>
    <row r="8" spans="1:20" ht="21.95" customHeight="1">
      <c r="A8" s="361"/>
      <c r="B8" s="338"/>
      <c r="C8" s="338"/>
      <c r="D8" s="338"/>
      <c r="E8" s="338"/>
      <c r="F8" s="338"/>
      <c r="G8" s="338"/>
      <c r="H8" s="338"/>
      <c r="I8" s="338"/>
      <c r="J8" s="339"/>
      <c r="K8" s="338"/>
      <c r="L8" s="338"/>
      <c r="M8" s="338"/>
      <c r="N8" s="338"/>
      <c r="O8" s="338"/>
      <c r="P8" s="338"/>
      <c r="Q8" s="338"/>
      <c r="R8" s="338"/>
      <c r="S8" s="338"/>
      <c r="T8" s="339"/>
    </row>
    <row r="9" spans="1:20" ht="21.95" customHeight="1">
      <c r="A9" s="361"/>
      <c r="B9" s="338"/>
      <c r="C9" s="338"/>
      <c r="D9" s="338"/>
      <c r="E9" s="338"/>
      <c r="F9" s="338"/>
      <c r="G9" s="338"/>
      <c r="H9" s="338"/>
      <c r="I9" s="338"/>
      <c r="J9" s="339"/>
      <c r="K9" s="338"/>
      <c r="L9" s="338"/>
      <c r="M9" s="338"/>
      <c r="N9" s="338"/>
      <c r="O9" s="338"/>
      <c r="P9" s="338"/>
      <c r="Q9" s="338"/>
      <c r="R9" s="338"/>
      <c r="S9" s="338"/>
      <c r="T9" s="339"/>
    </row>
    <row r="10" spans="1:20" ht="21.95" customHeight="1">
      <c r="A10" s="361"/>
      <c r="B10" s="338"/>
      <c r="C10" s="338"/>
      <c r="D10" s="338"/>
      <c r="E10" s="338"/>
      <c r="F10" s="338"/>
      <c r="G10" s="338"/>
      <c r="H10" s="338"/>
      <c r="I10" s="338"/>
      <c r="J10" s="339"/>
      <c r="K10" s="338"/>
      <c r="L10" s="338"/>
      <c r="M10" s="338"/>
      <c r="N10" s="338"/>
      <c r="O10" s="338"/>
      <c r="P10" s="338"/>
      <c r="Q10" s="338"/>
      <c r="R10" s="338"/>
      <c r="S10" s="338"/>
      <c r="T10" s="339"/>
    </row>
    <row r="11" spans="1:20" ht="21.95" customHeight="1">
      <c r="A11" s="361"/>
      <c r="B11" s="338"/>
      <c r="C11" s="338"/>
      <c r="D11" s="338"/>
      <c r="E11" s="338"/>
      <c r="F11" s="338"/>
      <c r="G11" s="338"/>
      <c r="H11" s="338"/>
      <c r="I11" s="338"/>
      <c r="J11" s="339"/>
      <c r="K11" s="338"/>
      <c r="L11" s="338"/>
      <c r="M11" s="338"/>
      <c r="N11" s="338"/>
      <c r="O11" s="338"/>
      <c r="P11" s="338"/>
      <c r="Q11" s="338"/>
      <c r="R11" s="338"/>
      <c r="S11" s="338"/>
      <c r="T11" s="339"/>
    </row>
    <row r="12" spans="1:20" ht="21.95" customHeight="1">
      <c r="A12" s="361"/>
      <c r="B12" s="338"/>
      <c r="C12" s="338"/>
      <c r="D12" s="338"/>
      <c r="E12" s="338"/>
      <c r="F12" s="338"/>
      <c r="G12" s="338"/>
      <c r="H12" s="338"/>
      <c r="I12" s="338"/>
      <c r="J12" s="339"/>
      <c r="K12" s="338"/>
      <c r="L12" s="338"/>
      <c r="M12" s="338"/>
      <c r="N12" s="338"/>
      <c r="O12" s="338"/>
      <c r="P12" s="338"/>
      <c r="Q12" s="338"/>
      <c r="R12" s="338"/>
      <c r="S12" s="338"/>
      <c r="T12" s="339"/>
    </row>
    <row r="13" spans="1:20" ht="21.95" customHeight="1">
      <c r="A13" s="361"/>
      <c r="B13" s="338"/>
      <c r="C13" s="338"/>
      <c r="D13" s="338"/>
      <c r="E13" s="338"/>
      <c r="F13" s="338"/>
      <c r="G13" s="338"/>
      <c r="H13" s="338"/>
      <c r="I13" s="338"/>
      <c r="J13" s="339"/>
      <c r="K13" s="338"/>
      <c r="L13" s="338"/>
      <c r="M13" s="338"/>
      <c r="N13" s="338"/>
      <c r="O13" s="338"/>
      <c r="P13" s="338"/>
      <c r="Q13" s="338"/>
      <c r="R13" s="338"/>
      <c r="S13" s="338"/>
      <c r="T13" s="339"/>
    </row>
    <row r="14" spans="1:20" ht="21.95" customHeight="1">
      <c r="A14" s="361"/>
      <c r="B14" s="338"/>
      <c r="C14" s="338"/>
      <c r="D14" s="338"/>
      <c r="E14" s="338"/>
      <c r="F14" s="338"/>
      <c r="G14" s="338"/>
      <c r="H14" s="338"/>
      <c r="I14" s="338"/>
      <c r="J14" s="339"/>
      <c r="K14" s="338"/>
      <c r="L14" s="338"/>
      <c r="M14" s="338"/>
      <c r="N14" s="338"/>
      <c r="O14" s="338"/>
      <c r="P14" s="338"/>
      <c r="Q14" s="338"/>
      <c r="R14" s="338"/>
      <c r="S14" s="338"/>
      <c r="T14" s="339"/>
    </row>
    <row r="15" spans="1:20" ht="21.95" customHeight="1">
      <c r="A15" s="361"/>
      <c r="B15" s="338"/>
      <c r="C15" s="338"/>
      <c r="D15" s="338"/>
      <c r="E15" s="338"/>
      <c r="F15" s="338"/>
      <c r="G15" s="338"/>
      <c r="H15" s="338"/>
      <c r="I15" s="338"/>
      <c r="J15" s="339"/>
      <c r="K15" s="338"/>
      <c r="L15" s="338"/>
      <c r="M15" s="338"/>
      <c r="N15" s="338"/>
      <c r="O15" s="338"/>
      <c r="P15" s="338"/>
      <c r="Q15" s="338"/>
      <c r="R15" s="338"/>
      <c r="S15" s="338"/>
      <c r="T15" s="339"/>
    </row>
    <row r="16" spans="1:20" ht="21.95" customHeight="1">
      <c r="A16" s="361"/>
      <c r="B16" s="338"/>
      <c r="C16" s="338"/>
      <c r="D16" s="338"/>
      <c r="E16" s="338"/>
      <c r="F16" s="338"/>
      <c r="G16" s="338"/>
      <c r="H16" s="338"/>
      <c r="I16" s="338"/>
      <c r="J16" s="339"/>
      <c r="K16" s="338"/>
      <c r="L16" s="338"/>
      <c r="M16" s="338"/>
      <c r="N16" s="338"/>
      <c r="O16" s="338"/>
      <c r="P16" s="338"/>
      <c r="Q16" s="338"/>
      <c r="R16" s="338"/>
      <c r="S16" s="338"/>
      <c r="T16" s="339"/>
    </row>
    <row r="17" spans="1:20" ht="21.95" customHeight="1">
      <c r="A17" s="361"/>
      <c r="B17" s="338"/>
      <c r="C17" s="338"/>
      <c r="D17" s="338"/>
      <c r="E17" s="338"/>
      <c r="F17" s="338"/>
      <c r="G17" s="338"/>
      <c r="H17" s="338"/>
      <c r="I17" s="338"/>
      <c r="J17" s="339"/>
      <c r="K17" s="338"/>
      <c r="L17" s="338"/>
      <c r="M17" s="338"/>
      <c r="N17" s="338"/>
      <c r="O17" s="338"/>
      <c r="P17" s="338"/>
      <c r="Q17" s="338"/>
      <c r="R17" s="338"/>
      <c r="S17" s="338"/>
      <c r="T17" s="339"/>
    </row>
    <row r="18" spans="1:20" ht="21.95" customHeight="1">
      <c r="A18" s="361"/>
      <c r="B18" s="338"/>
      <c r="C18" s="338"/>
      <c r="D18" s="338"/>
      <c r="E18" s="338"/>
      <c r="F18" s="338"/>
      <c r="G18" s="338"/>
      <c r="H18" s="338"/>
      <c r="I18" s="338"/>
      <c r="J18" s="339"/>
      <c r="K18" s="338"/>
      <c r="L18" s="338"/>
      <c r="M18" s="338"/>
      <c r="N18" s="338"/>
      <c r="O18" s="338"/>
      <c r="P18" s="338"/>
      <c r="Q18" s="338"/>
      <c r="R18" s="338"/>
      <c r="S18" s="338"/>
      <c r="T18" s="339"/>
    </row>
    <row r="19" spans="1:20" ht="21.95" customHeight="1">
      <c r="A19" s="361"/>
      <c r="B19" s="338"/>
      <c r="C19" s="338"/>
      <c r="D19" s="338"/>
      <c r="E19" s="338"/>
      <c r="F19" s="338"/>
      <c r="G19" s="338"/>
      <c r="H19" s="338"/>
      <c r="I19" s="338"/>
      <c r="J19" s="339"/>
      <c r="K19" s="338"/>
      <c r="L19" s="338"/>
      <c r="M19" s="338"/>
      <c r="N19" s="338"/>
      <c r="O19" s="338"/>
      <c r="P19" s="338"/>
      <c r="Q19" s="338"/>
      <c r="R19" s="338"/>
      <c r="S19" s="338"/>
      <c r="T19" s="339"/>
    </row>
    <row r="20" spans="1:20" ht="21.95" customHeight="1">
      <c r="A20" s="361"/>
      <c r="B20" s="338"/>
      <c r="C20" s="338"/>
      <c r="D20" s="338"/>
      <c r="E20" s="338"/>
      <c r="F20" s="338"/>
      <c r="G20" s="338"/>
      <c r="H20" s="338"/>
      <c r="I20" s="338"/>
      <c r="J20" s="339"/>
      <c r="K20" s="338"/>
      <c r="L20" s="338"/>
      <c r="M20" s="338"/>
      <c r="N20" s="338"/>
      <c r="O20" s="338"/>
      <c r="P20" s="338"/>
      <c r="Q20" s="338"/>
      <c r="R20" s="338"/>
      <c r="S20" s="338"/>
      <c r="T20" s="339"/>
    </row>
    <row r="21" spans="1:20" ht="21.95" customHeight="1">
      <c r="A21" s="361"/>
      <c r="B21" s="338"/>
      <c r="C21" s="338"/>
      <c r="D21" s="338"/>
      <c r="E21" s="338"/>
      <c r="F21" s="338"/>
      <c r="G21" s="338"/>
      <c r="H21" s="338"/>
      <c r="I21" s="338"/>
      <c r="J21" s="339"/>
      <c r="K21" s="338"/>
      <c r="L21" s="338"/>
      <c r="M21" s="338"/>
      <c r="N21" s="338"/>
      <c r="O21" s="338"/>
      <c r="P21" s="338"/>
      <c r="Q21" s="338"/>
      <c r="R21" s="338"/>
      <c r="S21" s="338"/>
      <c r="T21" s="339"/>
    </row>
    <row r="22" spans="1:20" ht="21.95" customHeight="1">
      <c r="A22" s="361"/>
      <c r="B22" s="338"/>
      <c r="C22" s="338"/>
      <c r="D22" s="338"/>
      <c r="E22" s="338"/>
      <c r="F22" s="338"/>
      <c r="G22" s="338"/>
      <c r="H22" s="338"/>
      <c r="I22" s="338"/>
      <c r="J22" s="339"/>
      <c r="K22" s="338"/>
      <c r="L22" s="338"/>
      <c r="M22" s="338"/>
      <c r="N22" s="338"/>
      <c r="O22" s="338"/>
      <c r="P22" s="338"/>
      <c r="Q22" s="338"/>
      <c r="R22" s="338"/>
      <c r="S22" s="338"/>
      <c r="T22" s="339"/>
    </row>
    <row r="23" spans="1:20" ht="21.95" customHeight="1">
      <c r="A23" s="361"/>
      <c r="B23" s="338"/>
      <c r="C23" s="338"/>
      <c r="D23" s="338"/>
      <c r="E23" s="338"/>
      <c r="F23" s="338"/>
      <c r="G23" s="338"/>
      <c r="H23" s="338"/>
      <c r="I23" s="338"/>
      <c r="J23" s="339"/>
      <c r="K23" s="338"/>
      <c r="L23" s="338"/>
      <c r="M23" s="338"/>
      <c r="N23" s="338"/>
      <c r="O23" s="338"/>
      <c r="P23" s="338"/>
      <c r="Q23" s="338"/>
      <c r="R23" s="338"/>
      <c r="S23" s="338"/>
      <c r="T23" s="339"/>
    </row>
    <row r="24" spans="1:20" ht="21.95" customHeight="1">
      <c r="A24" s="361"/>
      <c r="B24" s="338"/>
      <c r="C24" s="338"/>
      <c r="D24" s="338"/>
      <c r="E24" s="338"/>
      <c r="F24" s="338"/>
      <c r="G24" s="338"/>
      <c r="H24" s="338"/>
      <c r="I24" s="338"/>
      <c r="J24" s="339"/>
      <c r="K24" s="338"/>
      <c r="L24" s="338"/>
      <c r="M24" s="338"/>
      <c r="N24" s="338"/>
      <c r="O24" s="338"/>
      <c r="P24" s="338"/>
      <c r="Q24" s="338"/>
      <c r="R24" s="338"/>
      <c r="S24" s="338"/>
      <c r="T24" s="339"/>
    </row>
    <row r="25" spans="1:20" ht="21.95" customHeight="1">
      <c r="A25" s="361"/>
      <c r="B25" s="338"/>
      <c r="C25" s="338"/>
      <c r="D25" s="338"/>
      <c r="E25" s="338"/>
      <c r="F25" s="338"/>
      <c r="G25" s="338"/>
      <c r="H25" s="338"/>
      <c r="I25" s="338"/>
      <c r="J25" s="339"/>
      <c r="K25" s="338"/>
      <c r="L25" s="338"/>
      <c r="M25" s="338"/>
      <c r="N25" s="338"/>
      <c r="O25" s="338"/>
      <c r="P25" s="338"/>
      <c r="Q25" s="338"/>
      <c r="R25" s="338"/>
      <c r="S25" s="338"/>
      <c r="T25" s="339"/>
    </row>
    <row r="26" spans="1:20" ht="21.95" customHeight="1">
      <c r="A26" s="361"/>
      <c r="B26" s="338"/>
      <c r="C26" s="338"/>
      <c r="D26" s="338"/>
      <c r="E26" s="338"/>
      <c r="F26" s="338"/>
      <c r="G26" s="338"/>
      <c r="H26" s="338"/>
      <c r="I26" s="338"/>
      <c r="J26" s="339"/>
      <c r="K26" s="338"/>
      <c r="L26" s="338"/>
      <c r="M26" s="338"/>
      <c r="N26" s="338"/>
      <c r="O26" s="338"/>
      <c r="P26" s="338"/>
      <c r="Q26" s="338"/>
      <c r="R26" s="338"/>
      <c r="S26" s="338"/>
      <c r="T26" s="339"/>
    </row>
    <row r="27" spans="1:20" ht="21.95" customHeight="1">
      <c r="A27" s="361"/>
      <c r="B27" s="338"/>
      <c r="C27" s="338"/>
      <c r="D27" s="338"/>
      <c r="E27" s="338"/>
      <c r="F27" s="338"/>
      <c r="G27" s="338"/>
      <c r="H27" s="338"/>
      <c r="I27" s="338"/>
      <c r="J27" s="339"/>
      <c r="K27" s="338"/>
      <c r="L27" s="338"/>
      <c r="M27" s="338"/>
      <c r="N27" s="338"/>
      <c r="O27" s="338"/>
      <c r="P27" s="338"/>
      <c r="Q27" s="338"/>
      <c r="R27" s="338"/>
      <c r="S27" s="338"/>
      <c r="T27" s="339"/>
    </row>
    <row r="28" spans="1:20" ht="21.95" customHeight="1">
      <c r="A28" s="361"/>
      <c r="B28" s="338"/>
      <c r="C28" s="338"/>
      <c r="D28" s="338"/>
      <c r="E28" s="338"/>
      <c r="F28" s="338"/>
      <c r="G28" s="338"/>
      <c r="H28" s="338"/>
      <c r="I28" s="338"/>
      <c r="J28" s="339"/>
      <c r="K28" s="338"/>
      <c r="L28" s="338"/>
      <c r="M28" s="338"/>
      <c r="N28" s="338"/>
      <c r="O28" s="338"/>
      <c r="P28" s="338"/>
      <c r="Q28" s="338"/>
      <c r="R28" s="338"/>
      <c r="S28" s="338"/>
      <c r="T28" s="339"/>
    </row>
    <row r="29" spans="1:20" ht="21.95" customHeight="1">
      <c r="A29" s="361"/>
      <c r="B29" s="338"/>
      <c r="C29" s="338"/>
      <c r="D29" s="338"/>
      <c r="E29" s="338"/>
      <c r="F29" s="338"/>
      <c r="G29" s="338"/>
      <c r="H29" s="338"/>
      <c r="I29" s="338"/>
      <c r="J29" s="339"/>
      <c r="K29" s="338"/>
      <c r="L29" s="338"/>
      <c r="M29" s="338"/>
      <c r="N29" s="338"/>
      <c r="O29" s="338"/>
      <c r="P29" s="338"/>
      <c r="Q29" s="338"/>
      <c r="R29" s="338"/>
      <c r="S29" s="338"/>
      <c r="T29" s="339"/>
    </row>
    <row r="30" spans="1:20" ht="21.95" customHeight="1">
      <c r="A30" s="361"/>
      <c r="B30" s="338"/>
      <c r="C30" s="338"/>
      <c r="D30" s="338"/>
      <c r="E30" s="338"/>
      <c r="F30" s="338"/>
      <c r="G30" s="338"/>
      <c r="H30" s="338"/>
      <c r="I30" s="338"/>
      <c r="J30" s="339"/>
      <c r="K30" s="338"/>
      <c r="L30" s="338"/>
      <c r="M30" s="338"/>
      <c r="N30" s="338"/>
      <c r="O30" s="338"/>
      <c r="P30" s="338"/>
      <c r="Q30" s="338"/>
      <c r="R30" s="338"/>
      <c r="S30" s="338"/>
      <c r="T30" s="339"/>
    </row>
    <row r="31" spans="1:20" ht="21.95" customHeight="1">
      <c r="A31" s="361"/>
      <c r="B31" s="338"/>
      <c r="C31" s="338"/>
      <c r="D31" s="338"/>
      <c r="E31" s="338"/>
      <c r="F31" s="338"/>
      <c r="G31" s="338"/>
      <c r="H31" s="338"/>
      <c r="I31" s="338"/>
      <c r="J31" s="339"/>
      <c r="K31" s="338"/>
      <c r="L31" s="338"/>
      <c r="M31" s="338"/>
      <c r="N31" s="338"/>
      <c r="O31" s="338"/>
      <c r="P31" s="338"/>
      <c r="Q31" s="338"/>
      <c r="R31" s="338"/>
      <c r="S31" s="338"/>
      <c r="T31" s="339"/>
    </row>
    <row r="32" spans="1:20" ht="21.95" customHeight="1">
      <c r="A32" s="361"/>
      <c r="B32" s="338"/>
      <c r="C32" s="338"/>
      <c r="D32" s="338"/>
      <c r="E32" s="338"/>
      <c r="F32" s="338"/>
      <c r="G32" s="338"/>
      <c r="H32" s="338"/>
      <c r="I32" s="338"/>
      <c r="J32" s="339"/>
      <c r="K32" s="338"/>
      <c r="L32" s="338"/>
      <c r="M32" s="338"/>
      <c r="N32" s="338"/>
      <c r="O32" s="338"/>
      <c r="P32" s="338"/>
      <c r="Q32" s="338"/>
      <c r="R32" s="338"/>
      <c r="S32" s="338"/>
      <c r="T32" s="339"/>
    </row>
    <row r="33" spans="1:20" ht="21.95" customHeight="1">
      <c r="A33" s="361"/>
      <c r="B33" s="338"/>
      <c r="C33" s="338"/>
      <c r="D33" s="338"/>
      <c r="E33" s="338"/>
      <c r="F33" s="338"/>
      <c r="G33" s="338"/>
      <c r="H33" s="338"/>
      <c r="I33" s="338"/>
      <c r="J33" s="339"/>
      <c r="K33" s="338"/>
      <c r="L33" s="338"/>
      <c r="M33" s="338"/>
      <c r="N33" s="338"/>
      <c r="O33" s="338"/>
      <c r="P33" s="338"/>
      <c r="Q33" s="338"/>
      <c r="R33" s="338"/>
      <c r="S33" s="338"/>
      <c r="T33" s="339"/>
    </row>
    <row r="34" spans="1:20" ht="21.95" customHeight="1">
      <c r="A34" s="361"/>
      <c r="B34" s="338"/>
      <c r="C34" s="338"/>
      <c r="D34" s="338"/>
      <c r="E34" s="338"/>
      <c r="F34" s="338"/>
      <c r="G34" s="338"/>
      <c r="H34" s="338"/>
      <c r="I34" s="338"/>
      <c r="J34" s="339"/>
      <c r="K34" s="338"/>
      <c r="L34" s="338"/>
      <c r="M34" s="338"/>
      <c r="N34" s="338"/>
      <c r="O34" s="338"/>
      <c r="P34" s="338"/>
      <c r="Q34" s="338"/>
      <c r="R34" s="338"/>
      <c r="S34" s="338"/>
      <c r="T34" s="339"/>
    </row>
    <row r="35" spans="1:20" ht="21.95" customHeight="1">
      <c r="A35" s="360"/>
      <c r="B35" s="359"/>
      <c r="C35" s="359"/>
      <c r="D35" s="359"/>
      <c r="E35" s="359"/>
      <c r="F35" s="359"/>
      <c r="G35" s="359"/>
      <c r="H35" s="359"/>
      <c r="I35" s="359"/>
      <c r="J35" s="358"/>
      <c r="K35" s="359"/>
      <c r="L35" s="359"/>
      <c r="M35" s="359"/>
      <c r="N35" s="359"/>
      <c r="O35" s="359"/>
      <c r="P35" s="359"/>
      <c r="Q35" s="359"/>
      <c r="R35" s="359"/>
      <c r="S35" s="359"/>
      <c r="T35" s="358"/>
    </row>
    <row r="36" spans="1:20" ht="21.95" customHeight="1"/>
    <row r="37" spans="1:20" ht="24.95" customHeight="1"/>
    <row r="38" spans="1:20" ht="24.95" customHeight="1"/>
    <row r="39" spans="1:20" ht="24.95" customHeight="1"/>
  </sheetData>
  <phoneticPr fontId="7"/>
  <printOptions horizontalCentered="1"/>
  <pageMargins left="0.70866141732283472" right="0.70866141732283472" top="0.74803149606299213" bottom="0.39370078740157483" header="0.31496062992125984" footer="0.31496062992125984"/>
  <pageSetup paperSize="9" orientation="portrait" blackAndWhite="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D819-1FD0-4C7E-9421-75F80A3AA847}">
  <dimension ref="A1:AX147"/>
  <sheetViews>
    <sheetView view="pageBreakPreview" zoomScaleNormal="100" zoomScaleSheetLayoutView="100" workbookViewId="0"/>
  </sheetViews>
  <sheetFormatPr defaultRowHeight="13.5"/>
  <cols>
    <col min="1" max="6" width="2.875" style="5" customWidth="1"/>
    <col min="7" max="7" width="2.75" style="5" customWidth="1"/>
    <col min="8" max="8" width="3.75" style="5" customWidth="1"/>
    <col min="9" max="9" width="4.25" style="5" customWidth="1"/>
    <col min="10" max="10" width="3.5" style="5" customWidth="1"/>
    <col min="11" max="11" width="4.25" style="5" customWidth="1"/>
    <col min="12" max="30" width="3.75" style="5" customWidth="1"/>
    <col min="31" max="58" width="2.875" style="5" customWidth="1"/>
    <col min="59" max="59" width="9" style="5" customWidth="1"/>
    <col min="60" max="16384" width="9" style="5"/>
  </cols>
  <sheetData>
    <row r="1" spans="1:50" ht="18" customHeight="1">
      <c r="A1" s="478" t="s">
        <v>3002</v>
      </c>
      <c r="B1" s="478"/>
      <c r="C1" s="384"/>
      <c r="D1" s="384"/>
      <c r="E1" s="384"/>
      <c r="F1" s="384"/>
      <c r="G1" s="384"/>
      <c r="H1" s="384"/>
      <c r="I1" s="384"/>
      <c r="J1" s="384"/>
      <c r="K1" s="375"/>
      <c r="L1" s="375"/>
      <c r="M1" s="375"/>
      <c r="N1" s="375"/>
      <c r="O1" s="375"/>
      <c r="P1" s="375"/>
      <c r="Q1" s="375"/>
      <c r="R1" s="375"/>
      <c r="S1" s="375"/>
      <c r="T1" s="375"/>
      <c r="U1" s="375"/>
      <c r="V1" s="375"/>
      <c r="W1" s="375"/>
      <c r="X1" s="375"/>
      <c r="Y1" s="375"/>
      <c r="Z1" s="375"/>
      <c r="AA1" s="375"/>
      <c r="AB1" s="375"/>
      <c r="AC1" s="375"/>
      <c r="AD1" s="477" t="s">
        <v>3003</v>
      </c>
    </row>
    <row r="2" spans="1:50" ht="9.9499999999999993" customHeight="1">
      <c r="A2" s="476"/>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4"/>
    </row>
    <row r="3" spans="1:50" s="464" customFormat="1" ht="17.25">
      <c r="A3" s="468"/>
      <c r="B3" s="467"/>
      <c r="C3" s="467"/>
      <c r="D3" s="467"/>
      <c r="E3" s="467"/>
      <c r="F3" s="467"/>
      <c r="G3" s="467"/>
      <c r="H3" s="467"/>
      <c r="I3" s="467"/>
      <c r="J3" s="467"/>
      <c r="K3" s="467"/>
      <c r="L3" s="467"/>
      <c r="M3" s="467"/>
      <c r="Q3" s="467"/>
      <c r="R3" s="467"/>
      <c r="S3" s="467"/>
      <c r="T3" s="467"/>
      <c r="U3" s="467"/>
      <c r="V3" s="467"/>
      <c r="W3" s="467"/>
      <c r="X3" s="467"/>
      <c r="Y3" s="467"/>
      <c r="Z3" s="467"/>
      <c r="AA3" s="467"/>
      <c r="AB3" s="467"/>
      <c r="AC3" s="467"/>
      <c r="AD3" s="466"/>
    </row>
    <row r="4" spans="1:50" s="464" customFormat="1" ht="17.25">
      <c r="A4" s="473" t="s">
        <v>3004</v>
      </c>
      <c r="B4" s="472"/>
      <c r="C4" s="472"/>
      <c r="D4" s="472"/>
      <c r="E4" s="472"/>
      <c r="F4" s="472"/>
      <c r="I4" s="472" t="s">
        <v>2828</v>
      </c>
      <c r="J4" s="472"/>
      <c r="K4" s="472"/>
      <c r="L4" s="472"/>
      <c r="M4" s="472"/>
      <c r="N4" s="678" t="s">
        <v>2753</v>
      </c>
      <c r="O4" s="467" t="s">
        <v>3005</v>
      </c>
      <c r="P4" s="467"/>
      <c r="Q4" s="472"/>
      <c r="R4" s="678" t="s">
        <v>2745</v>
      </c>
      <c r="S4" s="467" t="s">
        <v>3006</v>
      </c>
      <c r="T4" s="467"/>
      <c r="U4" s="472"/>
      <c r="V4" s="472" t="s">
        <v>3007</v>
      </c>
      <c r="W4" s="472"/>
      <c r="X4" s="472"/>
      <c r="Y4" s="472"/>
      <c r="Z4" s="472"/>
      <c r="AA4" s="472"/>
      <c r="AB4" s="472"/>
      <c r="AC4" s="472"/>
      <c r="AD4" s="471"/>
      <c r="AH4" s="470" t="s">
        <v>3008</v>
      </c>
      <c r="AI4" s="469"/>
      <c r="AJ4" s="469"/>
      <c r="AK4" s="469"/>
      <c r="AL4" s="469"/>
      <c r="AM4" s="679" t="s">
        <v>3009</v>
      </c>
      <c r="AN4" s="446"/>
      <c r="AO4" s="446"/>
      <c r="AP4" s="446"/>
      <c r="AQ4" s="446"/>
      <c r="AR4" s="446"/>
      <c r="AS4" s="446"/>
      <c r="AT4" s="446"/>
      <c r="AU4" s="446"/>
      <c r="AV4" s="446"/>
      <c r="AW4" s="446"/>
      <c r="AX4" s="465"/>
    </row>
    <row r="5" spans="1:50" s="464" customFormat="1" ht="17.25" customHeight="1">
      <c r="A5" s="468"/>
      <c r="B5" s="467"/>
      <c r="C5" s="467"/>
      <c r="D5" s="467"/>
      <c r="E5" s="467"/>
      <c r="F5" s="467"/>
      <c r="G5" s="467"/>
      <c r="H5" s="467"/>
      <c r="I5" s="467"/>
      <c r="J5" s="467"/>
      <c r="K5" s="467"/>
      <c r="L5" s="467"/>
      <c r="M5" s="467"/>
      <c r="Q5" s="467"/>
      <c r="R5" s="467"/>
      <c r="S5" s="467"/>
      <c r="T5" s="467"/>
      <c r="U5" s="467"/>
      <c r="V5" s="467"/>
      <c r="W5" s="467"/>
      <c r="X5" s="467"/>
      <c r="Y5" s="467"/>
      <c r="Z5" s="467"/>
      <c r="AA5" s="467"/>
      <c r="AB5" s="467"/>
      <c r="AC5" s="467"/>
      <c r="AD5" s="466"/>
      <c r="AH5" s="410" t="s">
        <v>3010</v>
      </c>
      <c r="AI5" s="410"/>
      <c r="AJ5" s="410"/>
      <c r="AK5" s="410"/>
      <c r="AL5" s="410"/>
      <c r="AM5" s="679" t="s">
        <v>3011</v>
      </c>
      <c r="AN5" s="446"/>
      <c r="AO5" s="446"/>
      <c r="AP5" s="446"/>
      <c r="AQ5" s="446"/>
      <c r="AR5" s="446"/>
      <c r="AS5" s="446"/>
      <c r="AT5" s="446"/>
      <c r="AU5" s="446"/>
      <c r="AV5" s="446"/>
      <c r="AW5" s="446"/>
      <c r="AX5" s="465"/>
    </row>
    <row r="6" spans="1:50" ht="9.9499999999999993" customHeight="1">
      <c r="A6" s="391"/>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90"/>
      <c r="AH6" s="410" t="s">
        <v>3012</v>
      </c>
      <c r="AI6" s="410"/>
      <c r="AJ6" s="436"/>
      <c r="AK6" s="436"/>
      <c r="AL6" s="436"/>
      <c r="AM6" s="679" t="s">
        <v>3013</v>
      </c>
      <c r="AN6" s="446"/>
      <c r="AO6" s="446"/>
      <c r="AP6" s="446"/>
      <c r="AQ6" s="446"/>
      <c r="AR6" s="446"/>
      <c r="AS6" s="446"/>
      <c r="AT6" s="446"/>
      <c r="AU6" s="446"/>
      <c r="AV6" s="446"/>
      <c r="AW6" s="446"/>
      <c r="AX6" s="445"/>
    </row>
    <row r="7" spans="1:50">
      <c r="A7" s="463"/>
      <c r="B7" s="461"/>
      <c r="C7" s="461"/>
      <c r="D7" s="461"/>
      <c r="E7" s="461"/>
      <c r="F7" s="461"/>
      <c r="G7" s="461"/>
      <c r="H7" s="461"/>
      <c r="I7" s="461"/>
      <c r="J7" s="461"/>
      <c r="K7" s="461"/>
      <c r="L7" s="461"/>
      <c r="M7" s="461"/>
      <c r="N7" s="461"/>
      <c r="O7" s="461"/>
      <c r="P7" s="461"/>
      <c r="Q7" s="461"/>
      <c r="R7" s="461"/>
      <c r="S7" s="462"/>
      <c r="T7" s="461"/>
      <c r="U7" s="461"/>
      <c r="V7" s="800" t="str">
        <f ca="1">TEXT(TODAY(),"ggg")</f>
        <v>令和</v>
      </c>
      <c r="W7" s="800"/>
      <c r="X7" s="479"/>
      <c r="Y7" s="460" t="s">
        <v>2822</v>
      </c>
      <c r="Z7" s="479"/>
      <c r="AA7" s="460" t="s">
        <v>2823</v>
      </c>
      <c r="AB7" s="479"/>
      <c r="AC7" s="460" t="s">
        <v>2824</v>
      </c>
      <c r="AD7" s="459"/>
      <c r="AH7" s="410" t="s">
        <v>3014</v>
      </c>
      <c r="AI7" s="410"/>
      <c r="AJ7" s="410"/>
      <c r="AK7" s="410"/>
      <c r="AL7" s="410"/>
      <c r="AM7" s="680" t="s">
        <v>3015</v>
      </c>
      <c r="AN7" s="447"/>
      <c r="AO7" s="446"/>
      <c r="AP7" s="446"/>
      <c r="AQ7" s="446"/>
      <c r="AR7" s="447"/>
      <c r="AS7" s="447"/>
      <c r="AT7" s="447"/>
      <c r="AU7" s="447"/>
      <c r="AV7" s="447"/>
      <c r="AW7" s="447"/>
      <c r="AX7" s="445"/>
    </row>
    <row r="8" spans="1:50" ht="9.9499999999999993" customHeight="1">
      <c r="A8" s="391"/>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90"/>
      <c r="AH8" s="410" t="s">
        <v>3016</v>
      </c>
      <c r="AI8" s="410"/>
      <c r="AJ8" s="410"/>
      <c r="AK8" s="410"/>
      <c r="AL8" s="410"/>
      <c r="AM8" s="679" t="s">
        <v>3017</v>
      </c>
      <c r="AN8" s="446"/>
      <c r="AO8" s="447"/>
      <c r="AP8" s="447"/>
      <c r="AQ8" s="447"/>
      <c r="AR8" s="446"/>
      <c r="AS8" s="446"/>
      <c r="AT8" s="446"/>
      <c r="AU8" s="446"/>
      <c r="AV8" s="446"/>
      <c r="AW8" s="446"/>
      <c r="AX8" s="445"/>
    </row>
    <row r="9" spans="1:50" ht="17.25">
      <c r="A9" s="806" t="s">
        <v>3018</v>
      </c>
      <c r="B9" s="807"/>
      <c r="C9" s="807"/>
      <c r="D9" s="807"/>
      <c r="E9" s="808"/>
      <c r="F9" s="808"/>
      <c r="G9" s="808"/>
      <c r="H9" s="808"/>
      <c r="I9" s="808"/>
      <c r="J9" s="808"/>
      <c r="K9" s="808"/>
      <c r="L9" s="808"/>
      <c r="M9" s="375"/>
      <c r="N9" s="375"/>
      <c r="O9" s="375"/>
      <c r="P9" s="375"/>
      <c r="Q9" s="375"/>
      <c r="R9" s="375"/>
      <c r="S9" s="375"/>
      <c r="T9" s="375"/>
      <c r="U9" s="375"/>
      <c r="V9" s="375"/>
      <c r="W9" s="375"/>
      <c r="X9" s="375"/>
      <c r="Y9" s="375"/>
      <c r="Z9" s="375"/>
      <c r="AA9" s="375"/>
      <c r="AB9" s="375"/>
      <c r="AC9" s="375"/>
      <c r="AD9" s="390"/>
      <c r="AH9" s="410" t="s">
        <v>3019</v>
      </c>
      <c r="AI9" s="410"/>
      <c r="AJ9" s="410"/>
      <c r="AK9" s="410"/>
      <c r="AL9" s="410"/>
      <c r="AM9" s="679" t="s">
        <v>3020</v>
      </c>
      <c r="AN9" s="446"/>
      <c r="AO9" s="446"/>
      <c r="AP9" s="446"/>
      <c r="AQ9" s="446"/>
      <c r="AR9" s="446"/>
      <c r="AS9" s="446"/>
      <c r="AT9" s="446"/>
      <c r="AU9" s="446"/>
      <c r="AV9" s="446"/>
      <c r="AW9" s="446"/>
      <c r="AX9" s="445"/>
    </row>
    <row r="10" spans="1:50">
      <c r="A10" s="458"/>
      <c r="B10" s="457"/>
      <c r="C10" s="457"/>
      <c r="D10" s="457"/>
      <c r="M10" s="375"/>
      <c r="N10" s="375"/>
      <c r="O10" s="375"/>
      <c r="P10" s="375"/>
      <c r="Q10" s="375"/>
      <c r="R10" s="375"/>
      <c r="S10" s="375"/>
      <c r="T10" s="375"/>
      <c r="U10" s="375"/>
      <c r="V10" s="375"/>
      <c r="W10" s="375"/>
      <c r="X10" s="375"/>
      <c r="Y10" s="375"/>
      <c r="Z10" s="375"/>
      <c r="AA10" s="375"/>
      <c r="AB10" s="375"/>
      <c r="AC10" s="375"/>
      <c r="AD10" s="390"/>
      <c r="AH10" s="410" t="s">
        <v>3021</v>
      </c>
      <c r="AI10" s="410"/>
      <c r="AJ10" s="410"/>
      <c r="AK10" s="410"/>
      <c r="AL10" s="410"/>
      <c r="AM10" s="679" t="s">
        <v>3022</v>
      </c>
      <c r="AN10" s="446"/>
      <c r="AO10" s="446"/>
      <c r="AP10" s="446"/>
      <c r="AQ10" s="446"/>
      <c r="AR10" s="446"/>
      <c r="AS10" s="446"/>
      <c r="AT10" s="446"/>
      <c r="AU10" s="446"/>
      <c r="AV10" s="446"/>
      <c r="AW10" s="446"/>
      <c r="AX10" s="445"/>
    </row>
    <row r="11" spans="1:50">
      <c r="A11" s="428"/>
      <c r="B11" s="389"/>
      <c r="C11" s="389"/>
      <c r="D11" s="389"/>
      <c r="E11" s="389"/>
      <c r="F11" s="389"/>
      <c r="H11" s="398"/>
      <c r="I11" s="398"/>
      <c r="J11" s="398"/>
      <c r="K11" s="398"/>
      <c r="L11" s="804" t="s">
        <v>3023</v>
      </c>
      <c r="M11" s="804"/>
      <c r="N11" s="804"/>
      <c r="O11" s="398"/>
      <c r="P11" s="398"/>
      <c r="Q11" s="398"/>
      <c r="R11" s="398"/>
      <c r="S11" s="398"/>
      <c r="T11" s="398"/>
      <c r="U11" s="398"/>
      <c r="V11" s="398"/>
      <c r="W11" s="398"/>
      <c r="X11" s="398"/>
      <c r="Y11" s="398"/>
      <c r="Z11" s="398"/>
      <c r="AA11" s="398"/>
      <c r="AB11" s="398"/>
      <c r="AC11" s="398"/>
      <c r="AD11" s="390"/>
      <c r="AH11" s="410" t="s">
        <v>3024</v>
      </c>
      <c r="AI11" s="410"/>
      <c r="AJ11" s="410"/>
      <c r="AK11" s="410"/>
      <c r="AL11" s="410"/>
      <c r="AM11" s="679" t="s">
        <v>3025</v>
      </c>
      <c r="AN11" s="446"/>
      <c r="AO11" s="446"/>
      <c r="AP11" s="446"/>
      <c r="AQ11" s="446"/>
      <c r="AR11" s="446"/>
      <c r="AS11" s="446"/>
      <c r="AT11" s="446"/>
      <c r="AU11" s="446"/>
      <c r="AV11" s="446"/>
      <c r="AW11" s="446"/>
      <c r="AX11" s="445"/>
    </row>
    <row r="12" spans="1:50">
      <c r="A12" s="428"/>
      <c r="B12" s="389"/>
      <c r="C12" s="389"/>
      <c r="F12" s="398"/>
      <c r="G12" s="398"/>
      <c r="H12" s="398"/>
      <c r="I12" s="398"/>
      <c r="J12" s="398"/>
      <c r="K12" s="398"/>
      <c r="L12" s="398"/>
      <c r="M12" s="430" t="s">
        <v>3026</v>
      </c>
      <c r="N12" s="454" t="s">
        <v>3027</v>
      </c>
      <c r="O12" s="398"/>
      <c r="Q12" s="398"/>
      <c r="R12" s="398"/>
      <c r="S12" s="398"/>
      <c r="T12" s="398"/>
      <c r="U12" s="398"/>
      <c r="V12" s="398"/>
      <c r="W12" s="398"/>
      <c r="X12" s="398"/>
      <c r="Y12" s="398"/>
      <c r="Z12" s="398"/>
      <c r="AA12" s="398"/>
      <c r="AB12" s="398"/>
      <c r="AC12" s="398"/>
      <c r="AD12" s="456"/>
      <c r="AH12" s="410" t="s">
        <v>3028</v>
      </c>
      <c r="AI12" s="410"/>
      <c r="AJ12" s="410"/>
      <c r="AK12" s="410"/>
      <c r="AL12" s="410"/>
      <c r="AM12" s="679" t="s">
        <v>3029</v>
      </c>
      <c r="AN12" s="446"/>
      <c r="AO12" s="446"/>
      <c r="AP12" s="446"/>
      <c r="AQ12" s="446"/>
      <c r="AR12" s="446"/>
      <c r="AS12" s="446"/>
      <c r="AT12" s="446"/>
      <c r="AU12" s="446"/>
      <c r="AV12" s="446"/>
      <c r="AW12" s="446"/>
      <c r="AX12" s="445"/>
    </row>
    <row r="13" spans="1:50">
      <c r="A13" s="428"/>
      <c r="B13" s="389"/>
      <c r="C13" s="389"/>
      <c r="E13" s="389"/>
      <c r="F13" s="389"/>
      <c r="G13" s="389"/>
      <c r="H13" s="389"/>
      <c r="I13" s="389"/>
      <c r="J13" s="389"/>
      <c r="K13" s="389"/>
      <c r="L13" s="389"/>
      <c r="M13" s="389"/>
      <c r="N13" s="389" t="s">
        <v>3030</v>
      </c>
      <c r="O13" s="805" t="str">
        <f>cst_wskakunin_owner1_ZIP</f>
        <v>567-0009</v>
      </c>
      <c r="P13" s="805"/>
      <c r="Q13" s="805"/>
      <c r="R13" s="805"/>
      <c r="S13" s="389"/>
      <c r="T13" s="389"/>
      <c r="U13" s="389"/>
      <c r="V13" s="389"/>
      <c r="W13" s="389"/>
      <c r="X13" s="389"/>
      <c r="Y13" s="389"/>
      <c r="Z13" s="389"/>
      <c r="AA13" s="389"/>
      <c r="AB13" s="389"/>
      <c r="AC13" s="389"/>
      <c r="AD13" s="390"/>
      <c r="AH13" s="410" t="s">
        <v>3031</v>
      </c>
      <c r="AI13" s="410"/>
      <c r="AJ13" s="410"/>
      <c r="AK13" s="410"/>
      <c r="AL13" s="410"/>
      <c r="AM13" s="679" t="s">
        <v>3032</v>
      </c>
      <c r="AN13" s="446"/>
      <c r="AO13" s="446"/>
      <c r="AP13" s="446"/>
      <c r="AQ13" s="446"/>
      <c r="AR13" s="446"/>
      <c r="AS13" s="446"/>
      <c r="AT13" s="446"/>
      <c r="AU13" s="446"/>
      <c r="AV13" s="446"/>
      <c r="AW13" s="446"/>
      <c r="AX13" s="445"/>
    </row>
    <row r="14" spans="1:50">
      <c r="A14" s="428"/>
      <c r="B14" s="389"/>
      <c r="C14" s="389"/>
      <c r="G14" s="389"/>
      <c r="H14" s="389"/>
      <c r="I14" s="389"/>
      <c r="J14" s="389"/>
      <c r="N14" s="398"/>
      <c r="O14" s="805" t="str">
        <f>cst_wskakunin_owner1__address</f>
        <v>大阪府茨木市山手台2-2-2</v>
      </c>
      <c r="P14" s="805"/>
      <c r="Q14" s="805"/>
      <c r="R14" s="805"/>
      <c r="S14" s="805"/>
      <c r="T14" s="805"/>
      <c r="U14" s="805"/>
      <c r="V14" s="805"/>
      <c r="W14" s="805"/>
      <c r="X14" s="805"/>
      <c r="Y14" s="805"/>
      <c r="Z14" s="805"/>
      <c r="AA14" s="805"/>
      <c r="AB14" s="805"/>
      <c r="AC14" s="805"/>
      <c r="AD14" s="390"/>
      <c r="AH14" s="455" t="s">
        <v>3033</v>
      </c>
      <c r="AI14" s="410"/>
      <c r="AJ14" s="410"/>
      <c r="AK14" s="410"/>
      <c r="AL14" s="410"/>
      <c r="AM14" s="679" t="s">
        <v>3034</v>
      </c>
      <c r="AN14" s="446"/>
      <c r="AO14" s="446"/>
      <c r="AP14" s="446"/>
      <c r="AQ14" s="446"/>
      <c r="AR14" s="446"/>
      <c r="AS14" s="446"/>
      <c r="AT14" s="446"/>
      <c r="AU14" s="446"/>
      <c r="AV14" s="446"/>
      <c r="AW14" s="446"/>
      <c r="AX14" s="445"/>
    </row>
    <row r="15" spans="1:50">
      <c r="A15" s="428"/>
      <c r="B15" s="389"/>
      <c r="C15" s="389"/>
      <c r="G15" s="398"/>
      <c r="H15" s="398"/>
      <c r="I15" s="398"/>
      <c r="J15" s="398"/>
      <c r="K15" s="398"/>
      <c r="L15" s="398"/>
      <c r="M15" s="430" t="s">
        <v>194</v>
      </c>
      <c r="N15" s="454" t="s">
        <v>3035</v>
      </c>
      <c r="O15" s="430"/>
      <c r="Q15" s="398"/>
      <c r="R15" s="398"/>
      <c r="S15" s="398"/>
      <c r="T15" s="398"/>
      <c r="U15" s="398"/>
      <c r="V15" s="398"/>
      <c r="W15" s="398"/>
      <c r="X15" s="398"/>
      <c r="Y15" s="398"/>
      <c r="Z15" s="398"/>
      <c r="AA15" s="398"/>
      <c r="AB15" s="398"/>
      <c r="AD15" s="390"/>
      <c r="AH15" s="436" t="s">
        <v>3036</v>
      </c>
      <c r="AI15" s="410"/>
      <c r="AJ15" s="410"/>
      <c r="AK15" s="410"/>
      <c r="AL15" s="410"/>
      <c r="AM15" s="679" t="s">
        <v>3037</v>
      </c>
      <c r="AN15" s="447"/>
      <c r="AO15" s="446"/>
      <c r="AP15" s="446"/>
      <c r="AQ15" s="446"/>
      <c r="AR15" s="447"/>
      <c r="AS15" s="447"/>
      <c r="AT15" s="447"/>
      <c r="AU15" s="447"/>
      <c r="AV15" s="447"/>
      <c r="AW15" s="447"/>
      <c r="AX15" s="445"/>
    </row>
    <row r="16" spans="1:50">
      <c r="A16" s="428"/>
      <c r="B16" s="389"/>
      <c r="C16" s="389"/>
      <c r="E16" s="389"/>
      <c r="F16" s="389"/>
      <c r="G16" s="389"/>
      <c r="H16" s="389"/>
      <c r="I16" s="389"/>
      <c r="J16" s="389"/>
      <c r="K16" s="389"/>
      <c r="L16" s="389"/>
      <c r="M16" s="389"/>
      <c r="N16" s="814" t="str">
        <f>cst_wskakunin_owner1_NAME</f>
        <v>猫山　花子</v>
      </c>
      <c r="O16" s="814"/>
      <c r="P16" s="814"/>
      <c r="Q16" s="814"/>
      <c r="R16" s="814"/>
      <c r="S16" s="814"/>
      <c r="T16" s="814"/>
      <c r="U16" s="814"/>
      <c r="V16" s="814"/>
      <c r="W16" s="814"/>
      <c r="X16" s="814"/>
      <c r="Y16" s="814"/>
      <c r="Z16" s="814"/>
      <c r="AA16" s="814"/>
      <c r="AB16" s="814"/>
      <c r="AC16" s="389"/>
      <c r="AD16" s="390"/>
      <c r="AH16" s="436" t="s">
        <v>3038</v>
      </c>
      <c r="AI16" s="410"/>
      <c r="AJ16" s="410"/>
      <c r="AK16" s="410"/>
      <c r="AL16" s="410"/>
      <c r="AM16" s="679" t="s">
        <v>3039</v>
      </c>
      <c r="AN16" s="446"/>
      <c r="AO16" s="447"/>
      <c r="AP16" s="447"/>
      <c r="AQ16" s="447"/>
      <c r="AR16" s="447"/>
      <c r="AS16" s="447"/>
      <c r="AT16" s="447"/>
      <c r="AU16" s="447"/>
      <c r="AV16" s="447"/>
      <c r="AW16" s="447"/>
      <c r="AX16" s="445"/>
    </row>
    <row r="17" spans="1:50">
      <c r="A17" s="428"/>
      <c r="B17" s="389"/>
      <c r="C17" s="389"/>
      <c r="D17" s="389"/>
      <c r="E17" s="389"/>
      <c r="F17" s="389"/>
      <c r="G17" s="389"/>
      <c r="H17" s="389"/>
      <c r="I17" s="389"/>
      <c r="J17" s="389"/>
      <c r="K17" s="389"/>
      <c r="L17" s="389"/>
      <c r="M17" s="389" t="s">
        <v>3040</v>
      </c>
      <c r="N17" s="814" t="str">
        <f>cst_wskakunin_owner1_TEL</f>
        <v>なし</v>
      </c>
      <c r="O17" s="814"/>
      <c r="P17" s="814"/>
      <c r="Q17" s="814"/>
      <c r="R17" s="814"/>
      <c r="S17" s="814"/>
      <c r="T17" s="814"/>
      <c r="U17" s="814"/>
      <c r="V17" s="398"/>
      <c r="W17" s="398"/>
      <c r="X17" s="398"/>
      <c r="Y17" s="398"/>
      <c r="Z17" s="398"/>
      <c r="AA17" s="398"/>
      <c r="AB17" s="398"/>
      <c r="AC17" s="398"/>
      <c r="AD17" s="390"/>
      <c r="AH17" s="410" t="s">
        <v>3041</v>
      </c>
      <c r="AI17" s="410"/>
      <c r="AJ17" s="410"/>
      <c r="AK17" s="410"/>
      <c r="AL17" s="410"/>
      <c r="AM17" s="679" t="s">
        <v>3042</v>
      </c>
      <c r="AN17" s="446"/>
      <c r="AO17" s="447"/>
      <c r="AP17" s="447"/>
      <c r="AQ17" s="447"/>
      <c r="AR17" s="446"/>
      <c r="AS17" s="446"/>
      <c r="AT17" s="446"/>
      <c r="AU17" s="446"/>
      <c r="AV17" s="446"/>
      <c r="AW17" s="446"/>
      <c r="AX17" s="445"/>
    </row>
    <row r="18" spans="1:50">
      <c r="A18" s="428"/>
      <c r="B18" s="414"/>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398"/>
      <c r="AC18" s="398"/>
      <c r="AD18" s="390"/>
      <c r="AH18" s="410" t="s">
        <v>3043</v>
      </c>
      <c r="AI18" s="410"/>
      <c r="AJ18" s="410"/>
      <c r="AK18" s="410"/>
      <c r="AL18" s="410"/>
      <c r="AM18" s="679" t="s">
        <v>3044</v>
      </c>
      <c r="AN18" s="446"/>
      <c r="AO18" s="446"/>
      <c r="AP18" s="446"/>
      <c r="AQ18" s="446"/>
      <c r="AR18" s="446"/>
      <c r="AS18" s="446"/>
      <c r="AT18" s="446"/>
      <c r="AU18" s="446"/>
      <c r="AV18" s="446"/>
      <c r="AW18" s="446"/>
      <c r="AX18" s="445"/>
    </row>
    <row r="19" spans="1:50">
      <c r="A19" s="428"/>
      <c r="B19" s="414"/>
      <c r="C19" s="414"/>
      <c r="D19" s="810" t="s">
        <v>3009</v>
      </c>
      <c r="E19" s="811"/>
      <c r="F19" s="811"/>
      <c r="G19" s="811"/>
      <c r="H19" s="811"/>
      <c r="I19" s="811"/>
      <c r="J19" s="811"/>
      <c r="K19" s="811"/>
      <c r="L19" s="811"/>
      <c r="M19" s="811"/>
      <c r="N19" s="811"/>
      <c r="O19" s="811"/>
      <c r="P19" s="453"/>
      <c r="Q19" s="452" t="s">
        <v>3045</v>
      </c>
      <c r="R19" s="414"/>
      <c r="S19" s="414"/>
      <c r="T19" s="448"/>
      <c r="U19" s="448"/>
      <c r="V19" s="414"/>
      <c r="W19" s="414"/>
      <c r="X19" s="414"/>
      <c r="Y19" s="414"/>
      <c r="Z19" s="414"/>
      <c r="AA19" s="414"/>
      <c r="AB19" s="414"/>
      <c r="AC19" s="414"/>
      <c r="AD19" s="390"/>
      <c r="AH19" s="410" t="s">
        <v>3046</v>
      </c>
      <c r="AM19" s="679" t="s">
        <v>3047</v>
      </c>
      <c r="AN19" s="445"/>
      <c r="AO19" s="445"/>
      <c r="AP19" s="445"/>
      <c r="AQ19" s="445"/>
      <c r="AR19" s="445"/>
      <c r="AS19" s="445"/>
      <c r="AT19" s="445"/>
      <c r="AU19" s="445"/>
      <c r="AV19" s="445"/>
      <c r="AW19" s="445"/>
      <c r="AX19" s="445"/>
    </row>
    <row r="20" spans="1:50">
      <c r="A20" s="428"/>
      <c r="B20" s="414"/>
      <c r="C20" s="414"/>
      <c r="D20" s="451"/>
      <c r="E20" s="414"/>
      <c r="F20" s="414"/>
      <c r="G20" s="414"/>
      <c r="H20" s="414"/>
      <c r="I20" s="414"/>
      <c r="J20" s="414"/>
      <c r="K20" s="414"/>
      <c r="L20" s="414"/>
      <c r="M20" s="414"/>
      <c r="N20" s="414"/>
      <c r="O20" s="414"/>
      <c r="P20" s="398"/>
      <c r="Q20" s="389"/>
      <c r="R20" s="450"/>
      <c r="S20" s="448"/>
      <c r="T20" s="448"/>
      <c r="U20" s="448"/>
      <c r="V20" s="414"/>
      <c r="W20" s="414"/>
      <c r="X20" s="414"/>
      <c r="Y20" s="414"/>
      <c r="Z20" s="414"/>
      <c r="AA20" s="414"/>
      <c r="AB20" s="414"/>
      <c r="AC20" s="414"/>
      <c r="AD20" s="390"/>
      <c r="AH20" s="410" t="s">
        <v>3048</v>
      </c>
      <c r="AI20" s="410"/>
      <c r="AJ20" s="410"/>
      <c r="AK20" s="410"/>
      <c r="AL20" s="410"/>
      <c r="AM20" s="681" t="s">
        <v>3049</v>
      </c>
      <c r="AN20" s="446"/>
      <c r="AO20" s="446"/>
      <c r="AP20" s="446"/>
      <c r="AQ20" s="446"/>
      <c r="AR20" s="446"/>
      <c r="AS20" s="446"/>
      <c r="AT20" s="446"/>
      <c r="AU20" s="446"/>
      <c r="AV20" s="446"/>
      <c r="AW20" s="446"/>
      <c r="AX20" s="445"/>
    </row>
    <row r="21" spans="1:50">
      <c r="A21" s="428"/>
      <c r="B21" s="414"/>
      <c r="C21" s="414"/>
      <c r="D21" s="809" t="str">
        <f>J29</f>
        <v>現場　猫</v>
      </c>
      <c r="E21" s="808"/>
      <c r="F21" s="808"/>
      <c r="G21" s="808"/>
      <c r="H21" s="808"/>
      <c r="I21" s="808"/>
      <c r="J21" s="808"/>
      <c r="K21" s="808"/>
      <c r="L21" s="808"/>
      <c r="M21" s="389" t="s">
        <v>3050</v>
      </c>
      <c r="Q21" s="449"/>
      <c r="R21" s="414"/>
      <c r="T21" s="448"/>
      <c r="U21" s="448"/>
      <c r="V21" s="414"/>
      <c r="W21" s="414"/>
      <c r="X21" s="414"/>
      <c r="Y21" s="414"/>
      <c r="Z21" s="414"/>
      <c r="AA21" s="414"/>
      <c r="AB21" s="414"/>
      <c r="AC21" s="414"/>
      <c r="AD21" s="390"/>
      <c r="AH21" s="436"/>
      <c r="AI21" s="436"/>
      <c r="AJ21" s="436"/>
      <c r="AK21" s="436"/>
      <c r="AL21" s="436"/>
      <c r="AM21" s="447"/>
      <c r="AN21" s="446"/>
      <c r="AO21" s="446"/>
      <c r="AP21" s="446"/>
      <c r="AQ21" s="446"/>
      <c r="AR21" s="446"/>
      <c r="AS21" s="446"/>
      <c r="AT21" s="446"/>
      <c r="AU21" s="446"/>
      <c r="AV21" s="446"/>
      <c r="AW21" s="446"/>
      <c r="AX21" s="445"/>
    </row>
    <row r="22" spans="1:50">
      <c r="A22" s="428"/>
      <c r="B22" s="414"/>
      <c r="C22" s="414"/>
      <c r="D22" s="444"/>
      <c r="M22" s="389"/>
      <c r="Q22" s="449"/>
      <c r="R22" s="414"/>
      <c r="T22" s="448"/>
      <c r="U22" s="448"/>
      <c r="V22" s="414"/>
      <c r="W22" s="414"/>
      <c r="X22" s="414"/>
      <c r="Y22" s="414"/>
      <c r="Z22" s="414"/>
      <c r="AA22" s="414"/>
      <c r="AB22" s="414"/>
      <c r="AC22" s="414"/>
      <c r="AD22" s="390"/>
      <c r="AH22" s="436"/>
      <c r="AI22" s="436"/>
      <c r="AJ22" s="436"/>
      <c r="AK22" s="436"/>
      <c r="AL22" s="436"/>
      <c r="AM22" s="447"/>
      <c r="AN22" s="446"/>
      <c r="AO22" s="446"/>
      <c r="AP22" s="446"/>
      <c r="AQ22" s="446"/>
      <c r="AR22" s="446"/>
      <c r="AS22" s="446"/>
      <c r="AT22" s="446"/>
      <c r="AU22" s="446"/>
      <c r="AV22" s="446"/>
      <c r="AW22" s="446"/>
      <c r="AX22" s="445"/>
    </row>
    <row r="23" spans="1:50">
      <c r="A23" s="428"/>
      <c r="B23" s="414"/>
      <c r="C23" s="414"/>
      <c r="D23" s="443" t="s">
        <v>3051</v>
      </c>
      <c r="E23" s="443"/>
      <c r="F23" s="444"/>
      <c r="G23" s="444"/>
      <c r="H23" s="444"/>
      <c r="I23" s="444"/>
      <c r="J23" s="389"/>
      <c r="K23" s="389"/>
      <c r="L23" s="389"/>
      <c r="M23" s="389"/>
      <c r="N23" s="389"/>
      <c r="O23" s="389"/>
      <c r="P23" s="389"/>
      <c r="Q23" s="389"/>
      <c r="R23" s="389"/>
      <c r="S23" s="389"/>
      <c r="T23" s="389"/>
      <c r="U23" s="389"/>
      <c r="V23" s="414"/>
      <c r="W23" s="414"/>
      <c r="X23" s="414"/>
      <c r="Y23" s="414"/>
      <c r="Z23" s="414"/>
      <c r="AA23" s="414"/>
      <c r="AB23" s="414"/>
      <c r="AC23" s="414"/>
      <c r="AD23" s="390"/>
      <c r="AH23" s="436" t="s">
        <v>2745</v>
      </c>
    </row>
    <row r="24" spans="1:50">
      <c r="A24" s="428"/>
      <c r="B24" s="389"/>
      <c r="C24" s="389"/>
      <c r="D24" s="443" t="s">
        <v>3052</v>
      </c>
      <c r="E24" s="389"/>
      <c r="F24" s="389"/>
      <c r="G24" s="389"/>
      <c r="H24" s="389"/>
      <c r="I24" s="389"/>
      <c r="J24" s="389"/>
      <c r="K24" s="389"/>
      <c r="L24" s="389"/>
      <c r="M24" s="389"/>
      <c r="N24" s="389"/>
      <c r="O24" s="389"/>
      <c r="P24" s="430"/>
      <c r="Q24" s="389"/>
      <c r="R24" s="389"/>
      <c r="S24" s="389"/>
      <c r="T24" s="389"/>
      <c r="U24" s="389"/>
      <c r="V24" s="389"/>
      <c r="W24" s="389"/>
      <c r="X24" s="389"/>
      <c r="Y24" s="389"/>
      <c r="Z24" s="389"/>
      <c r="AA24" s="389"/>
      <c r="AB24" s="389"/>
      <c r="AC24" s="389"/>
      <c r="AD24" s="390"/>
      <c r="AH24" s="5" t="s">
        <v>2753</v>
      </c>
      <c r="AI24" s="410"/>
      <c r="AJ24" s="410"/>
      <c r="AK24" s="410"/>
      <c r="AL24" s="410"/>
      <c r="AM24" s="410"/>
      <c r="AN24" s="410"/>
      <c r="AO24" s="410"/>
      <c r="AP24" s="410"/>
      <c r="AQ24" s="410"/>
      <c r="AR24" s="436"/>
      <c r="AS24" s="436"/>
      <c r="AT24" s="436"/>
      <c r="AU24" s="436"/>
      <c r="AV24" s="436"/>
      <c r="AW24" s="436"/>
    </row>
    <row r="25" spans="1:50" ht="11.1" customHeight="1">
      <c r="A25" s="442" t="s">
        <v>2815</v>
      </c>
      <c r="B25" s="441"/>
      <c r="C25" s="441"/>
      <c r="D25" s="441"/>
      <c r="E25" s="441"/>
      <c r="F25" s="441"/>
      <c r="G25" s="441"/>
      <c r="H25" s="441"/>
      <c r="I25" s="441"/>
      <c r="J25" s="441"/>
      <c r="K25" s="441"/>
      <c r="L25" s="441"/>
      <c r="M25" s="441"/>
      <c r="N25" s="441"/>
      <c r="O25" s="441"/>
      <c r="P25" s="430"/>
      <c r="Q25" s="441"/>
      <c r="R25" s="441"/>
      <c r="S25" s="441"/>
      <c r="T25" s="441"/>
      <c r="U25" s="441"/>
      <c r="V25" s="441"/>
      <c r="W25" s="441"/>
      <c r="X25" s="441"/>
      <c r="Y25" s="441"/>
      <c r="Z25" s="441"/>
      <c r="AA25" s="441"/>
      <c r="AB25" s="441"/>
      <c r="AC25" s="441"/>
      <c r="AD25" s="440"/>
    </row>
    <row r="26" spans="1:50" ht="9.9499999999999993" customHeight="1">
      <c r="A26" s="439"/>
      <c r="B26" s="411"/>
      <c r="C26" s="411"/>
      <c r="D26" s="411"/>
      <c r="E26" s="411"/>
      <c r="F26" s="411"/>
      <c r="G26" s="411"/>
      <c r="H26" s="418"/>
      <c r="I26" s="411"/>
      <c r="J26" s="411"/>
      <c r="K26" s="411"/>
      <c r="L26" s="411"/>
      <c r="M26" s="411"/>
      <c r="N26" s="411"/>
      <c r="O26" s="411"/>
      <c r="P26" s="438"/>
      <c r="Q26" s="411"/>
      <c r="R26" s="411"/>
      <c r="S26" s="411"/>
      <c r="T26" s="411"/>
      <c r="U26" s="411"/>
      <c r="V26" s="411"/>
      <c r="W26" s="411"/>
      <c r="X26" s="411"/>
      <c r="Y26" s="411"/>
      <c r="Z26" s="411"/>
      <c r="AA26" s="411"/>
      <c r="AB26" s="411"/>
      <c r="AC26" s="411"/>
      <c r="AD26" s="418"/>
      <c r="AH26" s="436"/>
      <c r="AI26" s="436"/>
      <c r="AJ26" s="436"/>
      <c r="AK26" s="436"/>
      <c r="AL26" s="436"/>
      <c r="AM26" s="436"/>
      <c r="AN26" s="436"/>
      <c r="AO26" s="436"/>
      <c r="AP26" s="436"/>
      <c r="AQ26" s="436"/>
      <c r="AR26" s="436"/>
      <c r="AS26" s="436"/>
      <c r="AT26" s="436"/>
      <c r="AU26" s="436"/>
      <c r="AV26" s="436"/>
      <c r="AW26" s="436"/>
    </row>
    <row r="27" spans="1:50">
      <c r="A27" s="815" t="s">
        <v>3053</v>
      </c>
      <c r="B27" s="816"/>
      <c r="C27" s="816"/>
      <c r="D27" s="816"/>
      <c r="E27" s="816"/>
      <c r="F27" s="816"/>
      <c r="G27" s="816"/>
      <c r="H27" s="817"/>
      <c r="I27" s="389" t="s">
        <v>3054</v>
      </c>
      <c r="J27" s="814" t="str">
        <f>cst_wskakunin_kanri1_ZIP</f>
        <v>604-0001</v>
      </c>
      <c r="K27" s="814"/>
      <c r="L27" s="814"/>
      <c r="M27" s="814"/>
      <c r="N27" s="398"/>
      <c r="O27" s="398"/>
      <c r="P27" s="414"/>
      <c r="Q27" s="398"/>
      <c r="R27" s="398"/>
      <c r="S27" s="398"/>
      <c r="T27" s="398"/>
      <c r="U27" s="398"/>
      <c r="V27" s="398"/>
      <c r="W27" s="398"/>
      <c r="X27" s="398"/>
      <c r="Y27" s="398"/>
      <c r="Z27" s="398"/>
      <c r="AA27" s="398"/>
      <c r="AB27" s="398"/>
      <c r="AC27" s="398"/>
      <c r="AD27" s="393"/>
      <c r="AH27" s="437"/>
      <c r="AI27" s="436"/>
      <c r="AJ27" s="436"/>
      <c r="AK27" s="436"/>
      <c r="AL27" s="436"/>
      <c r="AM27" s="436"/>
      <c r="AN27" s="436"/>
      <c r="AO27" s="436"/>
      <c r="AP27" s="436"/>
      <c r="AQ27" s="436"/>
      <c r="AR27" s="436"/>
      <c r="AS27" s="436"/>
      <c r="AT27" s="436"/>
      <c r="AU27" s="436"/>
      <c r="AV27" s="436"/>
      <c r="AW27" s="436"/>
    </row>
    <row r="28" spans="1:50">
      <c r="A28" s="815" t="s">
        <v>3055</v>
      </c>
      <c r="B28" s="816"/>
      <c r="C28" s="816"/>
      <c r="D28" s="816"/>
      <c r="E28" s="816"/>
      <c r="F28" s="816"/>
      <c r="G28" s="816"/>
      <c r="H28" s="817"/>
      <c r="I28" s="389"/>
      <c r="J28" s="814" t="str">
        <f>cst_wskakunin_kanri1__address</f>
        <v>京都府京都市中京区道場町1</v>
      </c>
      <c r="K28" s="821"/>
      <c r="L28" s="821"/>
      <c r="M28" s="821"/>
      <c r="N28" s="821"/>
      <c r="O28" s="821"/>
      <c r="P28" s="821"/>
      <c r="Q28" s="821"/>
      <c r="R28" s="821"/>
      <c r="S28" s="821"/>
      <c r="T28" s="821"/>
      <c r="U28" s="821"/>
      <c r="V28" s="821"/>
      <c r="W28" s="821"/>
      <c r="X28" s="821"/>
      <c r="Y28" s="821"/>
      <c r="Z28" s="821"/>
      <c r="AA28" s="821"/>
      <c r="AB28" s="821"/>
      <c r="AC28" s="821"/>
      <c r="AD28" s="393"/>
      <c r="AH28" s="410"/>
      <c r="AI28" s="436"/>
      <c r="AJ28" s="436"/>
      <c r="AK28" s="436"/>
      <c r="AL28" s="436"/>
      <c r="AM28" s="436"/>
      <c r="AN28" s="436"/>
      <c r="AO28" s="436"/>
      <c r="AP28" s="436"/>
      <c r="AQ28" s="436"/>
      <c r="AR28" s="436"/>
      <c r="AS28" s="436"/>
      <c r="AT28" s="436"/>
      <c r="AU28" s="436"/>
      <c r="AV28" s="436"/>
      <c r="AW28" s="436"/>
    </row>
    <row r="29" spans="1:50">
      <c r="A29" s="815" t="s">
        <v>3056</v>
      </c>
      <c r="B29" s="816"/>
      <c r="C29" s="816"/>
      <c r="D29" s="816"/>
      <c r="E29" s="816"/>
      <c r="F29" s="816"/>
      <c r="G29" s="816"/>
      <c r="H29" s="817"/>
      <c r="I29" s="389"/>
      <c r="J29" s="814" t="str">
        <f>cst_wskakunin_kanri1_NAME</f>
        <v>現場　猫</v>
      </c>
      <c r="K29" s="821"/>
      <c r="L29" s="821"/>
      <c r="M29" s="821"/>
      <c r="N29" s="821"/>
      <c r="O29" s="821"/>
      <c r="P29" s="821"/>
      <c r="Q29" s="821"/>
      <c r="R29" s="821"/>
      <c r="S29" s="821"/>
      <c r="T29" s="821"/>
      <c r="U29" s="821"/>
      <c r="V29" s="821"/>
      <c r="W29" s="821"/>
      <c r="X29" s="821"/>
      <c r="Y29" s="821"/>
      <c r="Z29" s="821"/>
      <c r="AA29" s="821"/>
      <c r="AB29" s="821"/>
      <c r="AC29" s="389"/>
      <c r="AD29" s="393"/>
    </row>
    <row r="30" spans="1:50">
      <c r="A30" s="812"/>
      <c r="B30" s="804"/>
      <c r="C30" s="804"/>
      <c r="D30" s="804"/>
      <c r="E30" s="804"/>
      <c r="F30" s="804"/>
      <c r="G30" s="804"/>
      <c r="H30" s="813"/>
      <c r="I30" s="389"/>
      <c r="J30" s="389"/>
      <c r="K30" s="389"/>
      <c r="L30" s="389"/>
      <c r="M30" s="389"/>
      <c r="N30" s="389"/>
      <c r="O30" s="389"/>
      <c r="P30" s="414"/>
      <c r="Q30" s="389"/>
      <c r="R30" s="389"/>
      <c r="S30" s="389"/>
      <c r="T30" s="389"/>
      <c r="U30" s="389"/>
      <c r="V30" s="389"/>
      <c r="W30" s="389"/>
      <c r="X30" s="389"/>
      <c r="Y30" s="389"/>
      <c r="Z30" s="389"/>
      <c r="AA30" s="389"/>
      <c r="AB30" s="389"/>
      <c r="AC30" s="389"/>
      <c r="AD30" s="393"/>
    </row>
    <row r="31" spans="1:50">
      <c r="A31" s="815" t="s">
        <v>3057</v>
      </c>
      <c r="B31" s="816"/>
      <c r="C31" s="816"/>
      <c r="D31" s="816"/>
      <c r="E31" s="816"/>
      <c r="F31" s="816"/>
      <c r="G31" s="816"/>
      <c r="H31" s="817"/>
      <c r="I31" s="431" t="s">
        <v>3058</v>
      </c>
      <c r="J31" s="814" t="str">
        <f>cst_wskakunin_kanri1_SIKAKU</f>
        <v>一級</v>
      </c>
      <c r="K31" s="814"/>
      <c r="L31" s="398" t="s">
        <v>3059</v>
      </c>
      <c r="M31" s="816" t="s">
        <v>3060</v>
      </c>
      <c r="N31" s="816"/>
      <c r="O31" s="430" t="s">
        <v>3061</v>
      </c>
      <c r="P31" s="821" t="str">
        <f>cst_wskakunin_kanri1_TOUROKU_KIKAN</f>
        <v>大臣</v>
      </c>
      <c r="Q31" s="821"/>
      <c r="R31" s="821"/>
      <c r="S31" s="821"/>
      <c r="T31" s="430" t="s">
        <v>3062</v>
      </c>
      <c r="U31" s="432"/>
      <c r="V31" s="432"/>
      <c r="W31" s="432"/>
      <c r="X31" s="814" t="str">
        <f>cst_wskakunin_kanri1_KENTIKUSI_NO</f>
        <v>001100</v>
      </c>
      <c r="Y31" s="814"/>
      <c r="Z31" s="814"/>
      <c r="AA31" s="814"/>
      <c r="AB31" s="814"/>
      <c r="AC31" s="430" t="s">
        <v>2762</v>
      </c>
      <c r="AD31" s="429"/>
    </row>
    <row r="32" spans="1:50">
      <c r="A32" s="815" t="s">
        <v>3063</v>
      </c>
      <c r="B32" s="816"/>
      <c r="C32" s="816"/>
      <c r="D32" s="816"/>
      <c r="E32" s="816"/>
      <c r="F32" s="816"/>
      <c r="G32" s="816"/>
      <c r="H32" s="817"/>
      <c r="I32" s="431" t="s">
        <v>3058</v>
      </c>
      <c r="J32" s="814" t="str">
        <f>cst_wskakunin_kanri1_JIMU_SIKAKU</f>
        <v>一級</v>
      </c>
      <c r="K32" s="814"/>
      <c r="L32" s="398" t="s">
        <v>3059</v>
      </c>
      <c r="M32" s="430" t="s">
        <v>3064</v>
      </c>
      <c r="N32" s="430"/>
      <c r="O32" s="430"/>
      <c r="P32" s="389"/>
      <c r="Q32" s="814" t="str">
        <f>cst_wskakunin_kanri1_JIMU_TOUROKU_KIKAN</f>
        <v>京都府</v>
      </c>
      <c r="R32" s="814"/>
      <c r="S32" s="816" t="s">
        <v>3065</v>
      </c>
      <c r="T32" s="816"/>
      <c r="U32" s="816"/>
      <c r="V32" s="816"/>
      <c r="W32" s="816"/>
      <c r="X32" s="814" t="str">
        <f>cst_wskakunin_kanri1_JIMU_NO</f>
        <v>03A00000</v>
      </c>
      <c r="Y32" s="814"/>
      <c r="Z32" s="814"/>
      <c r="AA32" s="814"/>
      <c r="AB32" s="814"/>
      <c r="AC32" s="430" t="s">
        <v>2762</v>
      </c>
      <c r="AD32" s="435"/>
    </row>
    <row r="33" spans="1:30">
      <c r="A33" s="399"/>
      <c r="B33" s="398"/>
      <c r="C33" s="398"/>
      <c r="D33" s="398"/>
      <c r="E33" s="398"/>
      <c r="F33" s="398"/>
      <c r="G33" s="398"/>
      <c r="H33" s="397"/>
      <c r="I33" s="430"/>
      <c r="J33" s="398"/>
      <c r="K33" s="398"/>
      <c r="L33" s="398"/>
      <c r="M33" s="430"/>
      <c r="N33" s="430"/>
      <c r="O33" s="430"/>
      <c r="P33" s="389"/>
      <c r="Q33" s="398"/>
      <c r="R33" s="398"/>
      <c r="S33" s="398"/>
      <c r="T33" s="398"/>
      <c r="U33" s="398"/>
      <c r="V33" s="398"/>
      <c r="W33" s="398"/>
      <c r="X33" s="430"/>
      <c r="Y33" s="430"/>
      <c r="Z33" s="430"/>
      <c r="AA33" s="430"/>
      <c r="AB33" s="430"/>
      <c r="AC33" s="430"/>
      <c r="AD33" s="435"/>
    </row>
    <row r="34" spans="1:30">
      <c r="A34" s="399"/>
      <c r="B34" s="398"/>
      <c r="C34" s="398"/>
      <c r="D34" s="398"/>
      <c r="E34" s="398"/>
      <c r="F34" s="398"/>
      <c r="G34" s="398"/>
      <c r="H34" s="397"/>
      <c r="I34" s="434" t="s">
        <v>3066</v>
      </c>
      <c r="J34" s="398"/>
      <c r="K34" s="398"/>
      <c r="L34" s="398"/>
      <c r="M34" s="430"/>
      <c r="N34" s="430"/>
      <c r="O34" s="430"/>
      <c r="P34" s="389"/>
      <c r="Q34" s="398"/>
      <c r="R34" s="398"/>
      <c r="S34" s="398"/>
      <c r="T34" s="398"/>
      <c r="U34" s="398"/>
      <c r="V34" s="398"/>
      <c r="W34" s="398"/>
      <c r="X34" s="430"/>
      <c r="Y34" s="430"/>
      <c r="Z34" s="430"/>
      <c r="AA34" s="430"/>
      <c r="AB34" s="430"/>
      <c r="AC34" s="430"/>
      <c r="AD34" s="435"/>
    </row>
    <row r="35" spans="1:30" ht="9.9499999999999993" customHeight="1">
      <c r="A35" s="812"/>
      <c r="B35" s="804"/>
      <c r="C35" s="804"/>
      <c r="D35" s="804"/>
      <c r="E35" s="804"/>
      <c r="F35" s="804"/>
      <c r="G35" s="804"/>
      <c r="H35" s="813"/>
      <c r="I35" s="434" t="s">
        <v>3067</v>
      </c>
      <c r="J35" s="389"/>
      <c r="K35" s="389"/>
      <c r="L35" s="389"/>
      <c r="M35" s="389"/>
      <c r="N35" s="389"/>
      <c r="O35" s="389"/>
      <c r="P35" s="380"/>
      <c r="Q35" s="389"/>
      <c r="R35" s="389"/>
      <c r="S35" s="389"/>
      <c r="T35" s="389"/>
      <c r="U35" s="389"/>
      <c r="V35" s="389"/>
      <c r="W35" s="389"/>
      <c r="X35" s="389"/>
      <c r="Y35" s="389"/>
      <c r="Z35" s="389"/>
      <c r="AA35" s="389"/>
      <c r="AB35" s="389"/>
      <c r="AC35" s="389"/>
      <c r="AD35" s="393"/>
    </row>
    <row r="36" spans="1:30" ht="9.9499999999999993" customHeight="1">
      <c r="A36" s="421"/>
      <c r="B36" s="420"/>
      <c r="C36" s="420"/>
      <c r="D36" s="420"/>
      <c r="E36" s="420"/>
      <c r="F36" s="420"/>
      <c r="G36" s="420"/>
      <c r="H36" s="419"/>
      <c r="I36" s="411"/>
      <c r="J36" s="411"/>
      <c r="K36" s="411"/>
      <c r="L36" s="411"/>
      <c r="M36" s="411"/>
      <c r="N36" s="411"/>
      <c r="O36" s="411"/>
      <c r="P36" s="389"/>
      <c r="Q36" s="411"/>
      <c r="R36" s="411"/>
      <c r="S36" s="411"/>
      <c r="T36" s="411"/>
      <c r="U36" s="411"/>
      <c r="V36" s="411"/>
      <c r="W36" s="411"/>
      <c r="X36" s="411"/>
      <c r="Y36" s="411"/>
      <c r="Z36" s="411"/>
      <c r="AA36" s="411"/>
      <c r="AB36" s="411"/>
      <c r="AC36" s="411"/>
      <c r="AD36" s="418"/>
    </row>
    <row r="37" spans="1:30">
      <c r="A37" s="815" t="s">
        <v>3068</v>
      </c>
      <c r="B37" s="816"/>
      <c r="C37" s="816"/>
      <c r="D37" s="816"/>
      <c r="E37" s="816"/>
      <c r="F37" s="816"/>
      <c r="G37" s="816"/>
      <c r="H37" s="817"/>
      <c r="I37" s="389" t="s">
        <v>3054</v>
      </c>
      <c r="J37" s="802"/>
      <c r="K37" s="802"/>
      <c r="L37" s="802"/>
      <c r="M37" s="802"/>
      <c r="N37" s="398"/>
      <c r="O37" s="398"/>
      <c r="P37" s="389"/>
      <c r="Q37" s="398"/>
      <c r="R37" s="398"/>
      <c r="S37" s="398"/>
      <c r="T37" s="398"/>
      <c r="U37" s="398"/>
      <c r="V37" s="398"/>
      <c r="W37" s="398"/>
      <c r="X37" s="398"/>
      <c r="Y37" s="398"/>
      <c r="Z37" s="398"/>
      <c r="AA37" s="398"/>
      <c r="AB37" s="398"/>
      <c r="AC37" s="398"/>
      <c r="AD37" s="393"/>
    </row>
    <row r="38" spans="1:30">
      <c r="A38" s="815" t="s">
        <v>3055</v>
      </c>
      <c r="B38" s="816"/>
      <c r="C38" s="816"/>
      <c r="D38" s="816"/>
      <c r="E38" s="816"/>
      <c r="F38" s="816"/>
      <c r="G38" s="816"/>
      <c r="H38" s="817"/>
      <c r="I38" s="389"/>
      <c r="J38" s="802"/>
      <c r="K38" s="803"/>
      <c r="L38" s="803"/>
      <c r="M38" s="803"/>
      <c r="N38" s="803"/>
      <c r="O38" s="803"/>
      <c r="P38" s="803"/>
      <c r="Q38" s="803"/>
      <c r="R38" s="803"/>
      <c r="S38" s="803"/>
      <c r="T38" s="803"/>
      <c r="U38" s="803"/>
      <c r="V38" s="803"/>
      <c r="W38" s="803"/>
      <c r="X38" s="803"/>
      <c r="Y38" s="803"/>
      <c r="Z38" s="803"/>
      <c r="AA38" s="803"/>
      <c r="AB38" s="803"/>
      <c r="AC38" s="803"/>
      <c r="AD38" s="393"/>
    </row>
    <row r="39" spans="1:30">
      <c r="A39" s="815" t="s">
        <v>3056</v>
      </c>
      <c r="B39" s="816"/>
      <c r="C39" s="816"/>
      <c r="D39" s="816"/>
      <c r="E39" s="816"/>
      <c r="F39" s="816"/>
      <c r="G39" s="816"/>
      <c r="H39" s="817"/>
      <c r="I39" s="389"/>
      <c r="J39" s="802"/>
      <c r="K39" s="803"/>
      <c r="L39" s="803"/>
      <c r="M39" s="803"/>
      <c r="N39" s="803"/>
      <c r="O39" s="803"/>
      <c r="P39" s="803"/>
      <c r="Q39" s="803"/>
      <c r="R39" s="803"/>
      <c r="S39" s="803"/>
      <c r="T39" s="803"/>
      <c r="U39" s="803"/>
      <c r="V39" s="803"/>
      <c r="W39" s="803"/>
      <c r="X39" s="803"/>
      <c r="Y39" s="803"/>
      <c r="Z39" s="803"/>
      <c r="AA39" s="803"/>
      <c r="AB39" s="803"/>
      <c r="AC39" s="433" t="s">
        <v>3069</v>
      </c>
      <c r="AD39" s="393"/>
    </row>
    <row r="40" spans="1:30">
      <c r="A40" s="812"/>
      <c r="B40" s="804"/>
      <c r="C40" s="804"/>
      <c r="D40" s="804"/>
      <c r="E40" s="804"/>
      <c r="F40" s="804"/>
      <c r="G40" s="804"/>
      <c r="H40" s="813"/>
      <c r="I40" s="389"/>
      <c r="J40" s="389"/>
      <c r="K40" s="389"/>
      <c r="L40" s="389"/>
      <c r="M40" s="389"/>
      <c r="N40" s="389"/>
      <c r="O40" s="389"/>
      <c r="P40" s="389"/>
      <c r="Q40" s="389"/>
      <c r="R40" s="389"/>
      <c r="S40" s="389"/>
      <c r="T40" s="389"/>
      <c r="U40" s="389"/>
      <c r="V40" s="389"/>
      <c r="W40" s="389"/>
      <c r="X40" s="389"/>
      <c r="Y40" s="389"/>
      <c r="Z40" s="389"/>
      <c r="AA40" s="389"/>
      <c r="AB40" s="389"/>
      <c r="AC40" s="389"/>
      <c r="AD40" s="393"/>
    </row>
    <row r="41" spans="1:30">
      <c r="A41" s="815" t="s">
        <v>3057</v>
      </c>
      <c r="B41" s="816"/>
      <c r="C41" s="816"/>
      <c r="D41" s="816"/>
      <c r="E41" s="816"/>
      <c r="F41" s="816"/>
      <c r="G41" s="816"/>
      <c r="H41" s="817"/>
      <c r="I41" s="431" t="s">
        <v>3058</v>
      </c>
      <c r="J41" s="802"/>
      <c r="K41" s="802"/>
      <c r="L41" s="398" t="s">
        <v>3059</v>
      </c>
      <c r="M41" s="816" t="s">
        <v>3060</v>
      </c>
      <c r="N41" s="816"/>
      <c r="O41" s="430" t="s">
        <v>3070</v>
      </c>
      <c r="P41" s="389"/>
      <c r="Q41" s="398"/>
      <c r="R41" s="802"/>
      <c r="S41" s="802"/>
      <c r="T41" s="430" t="s">
        <v>3071</v>
      </c>
      <c r="U41" s="432"/>
      <c r="V41" s="432"/>
      <c r="W41" s="480"/>
      <c r="X41" s="802"/>
      <c r="Y41" s="802"/>
      <c r="Z41" s="802"/>
      <c r="AA41" s="802"/>
      <c r="AB41" s="802"/>
      <c r="AC41" s="430" t="s">
        <v>2762</v>
      </c>
      <c r="AD41" s="429"/>
    </row>
    <row r="42" spans="1:30">
      <c r="A42" s="815" t="s">
        <v>3063</v>
      </c>
      <c r="B42" s="816"/>
      <c r="C42" s="816"/>
      <c r="D42" s="816"/>
      <c r="E42" s="816"/>
      <c r="F42" s="816"/>
      <c r="G42" s="816"/>
      <c r="H42" s="817"/>
      <c r="I42" s="431" t="s">
        <v>3058</v>
      </c>
      <c r="J42" s="802"/>
      <c r="K42" s="802"/>
      <c r="L42" s="398" t="s">
        <v>3059</v>
      </c>
      <c r="M42" s="430" t="s">
        <v>3064</v>
      </c>
      <c r="N42" s="430"/>
      <c r="O42" s="430"/>
      <c r="P42" s="414"/>
      <c r="Q42" s="802"/>
      <c r="R42" s="802"/>
      <c r="S42" s="816" t="s">
        <v>3065</v>
      </c>
      <c r="T42" s="816"/>
      <c r="U42" s="816"/>
      <c r="V42" s="816"/>
      <c r="W42" s="816"/>
      <c r="X42" s="481"/>
      <c r="Y42" s="481"/>
      <c r="Z42" s="481"/>
      <c r="AA42" s="481"/>
      <c r="AB42" s="481"/>
      <c r="AC42" s="430" t="s">
        <v>2762</v>
      </c>
      <c r="AD42" s="429"/>
    </row>
    <row r="43" spans="1:30">
      <c r="A43" s="827" t="s">
        <v>3072</v>
      </c>
      <c r="B43" s="828"/>
      <c r="C43" s="828"/>
      <c r="D43" s="828"/>
      <c r="E43" s="828"/>
      <c r="F43" s="828"/>
      <c r="G43" s="828"/>
      <c r="H43" s="829"/>
      <c r="I43" s="428"/>
      <c r="J43" s="389"/>
      <c r="K43" s="389"/>
      <c r="L43" s="389"/>
      <c r="M43" s="389"/>
      <c r="N43" s="389"/>
      <c r="O43" s="389"/>
      <c r="P43" s="414"/>
      <c r="Q43" s="389"/>
      <c r="R43" s="389"/>
      <c r="S43" s="389"/>
      <c r="T43" s="389"/>
      <c r="U43" s="389"/>
      <c r="V43" s="389"/>
      <c r="W43" s="389"/>
      <c r="X43" s="389"/>
      <c r="Y43" s="389"/>
      <c r="Z43" s="389"/>
      <c r="AA43" s="389"/>
      <c r="AB43" s="389"/>
      <c r="AC43" s="389"/>
      <c r="AD43" s="393"/>
    </row>
    <row r="44" spans="1:30" ht="9.9499999999999993" customHeight="1">
      <c r="A44" s="842" t="s">
        <v>3073</v>
      </c>
      <c r="B44" s="843"/>
      <c r="C44" s="843"/>
      <c r="D44" s="843"/>
      <c r="E44" s="843"/>
      <c r="F44" s="843"/>
      <c r="G44" s="843"/>
      <c r="H44" s="844"/>
      <c r="I44" s="427"/>
      <c r="J44" s="380"/>
      <c r="K44" s="380"/>
      <c r="L44" s="380"/>
      <c r="M44" s="380"/>
      <c r="N44" s="380"/>
      <c r="O44" s="380"/>
      <c r="P44" s="380"/>
      <c r="Q44" s="380"/>
      <c r="R44" s="380"/>
      <c r="S44" s="380"/>
      <c r="T44" s="380"/>
      <c r="U44" s="380"/>
      <c r="V44" s="380"/>
      <c r="W44" s="380"/>
      <c r="X44" s="380"/>
      <c r="Y44" s="380"/>
      <c r="Z44" s="380"/>
      <c r="AA44" s="380"/>
      <c r="AB44" s="380"/>
      <c r="AC44" s="380"/>
      <c r="AD44" s="403"/>
    </row>
    <row r="45" spans="1:30" ht="9.9499999999999993" customHeight="1">
      <c r="A45" s="426"/>
      <c r="B45" s="425"/>
      <c r="C45" s="425"/>
      <c r="D45" s="425"/>
      <c r="E45" s="425"/>
      <c r="F45" s="425"/>
      <c r="G45" s="425"/>
      <c r="H45" s="424"/>
      <c r="I45" s="389"/>
      <c r="J45" s="389"/>
      <c r="K45" s="389"/>
      <c r="L45" s="389"/>
      <c r="M45" s="389"/>
      <c r="N45" s="389"/>
      <c r="O45" s="389"/>
      <c r="P45" s="389"/>
      <c r="Q45" s="389"/>
      <c r="R45" s="389"/>
      <c r="S45" s="389"/>
      <c r="T45" s="389"/>
      <c r="U45" s="389"/>
      <c r="V45" s="389"/>
      <c r="W45" s="389"/>
      <c r="X45" s="389"/>
      <c r="Y45" s="389"/>
      <c r="Z45" s="389"/>
      <c r="AA45" s="389"/>
      <c r="AB45" s="389"/>
      <c r="AC45" s="389"/>
      <c r="AD45" s="393"/>
    </row>
    <row r="46" spans="1:30">
      <c r="A46" s="815" t="s">
        <v>3074</v>
      </c>
      <c r="B46" s="816"/>
      <c r="C46" s="816"/>
      <c r="D46" s="816"/>
      <c r="E46" s="816"/>
      <c r="F46" s="816"/>
      <c r="G46" s="816"/>
      <c r="H46" s="817"/>
      <c r="I46" s="822" t="str">
        <f>cst_wskakunin_BUILD_NAME</f>
        <v>猫山邸　新築工事</v>
      </c>
      <c r="J46" s="805"/>
      <c r="K46" s="805"/>
      <c r="L46" s="805"/>
      <c r="M46" s="805"/>
      <c r="N46" s="805"/>
      <c r="O46" s="805"/>
      <c r="P46" s="805"/>
      <c r="Q46" s="805"/>
      <c r="R46" s="805"/>
      <c r="S46" s="805"/>
      <c r="T46" s="805"/>
      <c r="U46" s="805"/>
      <c r="V46" s="805"/>
      <c r="W46" s="805"/>
      <c r="X46" s="805"/>
      <c r="Y46" s="805"/>
      <c r="Z46" s="805"/>
      <c r="AA46" s="805"/>
      <c r="AB46" s="805"/>
      <c r="AC46" s="805"/>
      <c r="AD46" s="823"/>
    </row>
    <row r="47" spans="1:30">
      <c r="A47" s="413"/>
      <c r="B47" s="408"/>
      <c r="C47" s="408"/>
      <c r="D47" s="408"/>
      <c r="E47" s="408"/>
      <c r="F47" s="408"/>
      <c r="G47" s="408"/>
      <c r="H47" s="412"/>
      <c r="I47" s="423"/>
      <c r="J47" s="422"/>
      <c r="K47" s="422"/>
      <c r="L47" s="422"/>
      <c r="M47" s="422"/>
      <c r="N47" s="422"/>
      <c r="O47" s="422"/>
      <c r="P47" s="422"/>
      <c r="Q47" s="422"/>
      <c r="R47" s="422"/>
      <c r="S47" s="422"/>
      <c r="T47" s="422"/>
      <c r="U47" s="422"/>
      <c r="V47" s="422"/>
      <c r="W47" s="422"/>
      <c r="X47" s="422"/>
      <c r="Y47" s="422"/>
      <c r="Z47" s="422"/>
      <c r="AA47" s="422"/>
      <c r="AB47" s="422"/>
      <c r="AC47" s="422"/>
      <c r="AD47" s="393"/>
    </row>
    <row r="48" spans="1:30" ht="9.9499999999999993" customHeight="1">
      <c r="A48" s="421"/>
      <c r="B48" s="420"/>
      <c r="C48" s="420"/>
      <c r="D48" s="420"/>
      <c r="E48" s="420"/>
      <c r="F48" s="420"/>
      <c r="G48" s="420"/>
      <c r="H48" s="419"/>
      <c r="I48" s="411"/>
      <c r="J48" s="411"/>
      <c r="K48" s="411"/>
      <c r="L48" s="411"/>
      <c r="M48" s="411"/>
      <c r="N48" s="411"/>
      <c r="O48" s="411"/>
      <c r="P48" s="389"/>
      <c r="Q48" s="411"/>
      <c r="R48" s="411"/>
      <c r="S48" s="411"/>
      <c r="T48" s="411"/>
      <c r="U48" s="411"/>
      <c r="V48" s="411"/>
      <c r="W48" s="411"/>
      <c r="X48" s="411"/>
      <c r="Y48" s="411"/>
      <c r="Z48" s="411"/>
      <c r="AA48" s="411"/>
      <c r="AB48" s="411"/>
      <c r="AC48" s="411"/>
      <c r="AD48" s="418"/>
    </row>
    <row r="49" spans="1:42">
      <c r="A49" s="815" t="s">
        <v>3075</v>
      </c>
      <c r="B49" s="816"/>
      <c r="C49" s="816"/>
      <c r="D49" s="816"/>
      <c r="E49" s="816"/>
      <c r="F49" s="816"/>
      <c r="G49" s="816"/>
      <c r="H49" s="817"/>
      <c r="I49" s="824" t="str">
        <f>cst_wskakunin_BUILD__address</f>
        <v>大阪府茨木市山手台2-2-2</v>
      </c>
      <c r="J49" s="825"/>
      <c r="K49" s="825"/>
      <c r="L49" s="825"/>
      <c r="M49" s="825"/>
      <c r="N49" s="825"/>
      <c r="O49" s="825"/>
      <c r="P49" s="825"/>
      <c r="Q49" s="825"/>
      <c r="R49" s="825"/>
      <c r="S49" s="825"/>
      <c r="T49" s="825"/>
      <c r="U49" s="825"/>
      <c r="V49" s="825"/>
      <c r="W49" s="825"/>
      <c r="X49" s="825"/>
      <c r="Y49" s="825"/>
      <c r="Z49" s="825"/>
      <c r="AA49" s="825"/>
      <c r="AB49" s="825"/>
      <c r="AC49" s="825"/>
      <c r="AD49" s="826"/>
    </row>
    <row r="50" spans="1:42">
      <c r="A50" s="827" t="s">
        <v>3076</v>
      </c>
      <c r="B50" s="828"/>
      <c r="C50" s="828"/>
      <c r="D50" s="828"/>
      <c r="E50" s="828"/>
      <c r="F50" s="828"/>
      <c r="G50" s="828"/>
      <c r="H50" s="829"/>
      <c r="I50" s="824"/>
      <c r="J50" s="825"/>
      <c r="K50" s="825"/>
      <c r="L50" s="825"/>
      <c r="M50" s="825"/>
      <c r="N50" s="825"/>
      <c r="O50" s="825"/>
      <c r="P50" s="825"/>
      <c r="Q50" s="825"/>
      <c r="R50" s="825"/>
      <c r="S50" s="825"/>
      <c r="T50" s="825"/>
      <c r="U50" s="825"/>
      <c r="V50" s="825"/>
      <c r="W50" s="825"/>
      <c r="X50" s="825"/>
      <c r="Y50" s="825"/>
      <c r="Z50" s="825"/>
      <c r="AA50" s="825"/>
      <c r="AB50" s="825"/>
      <c r="AC50" s="825"/>
      <c r="AD50" s="826"/>
    </row>
    <row r="51" spans="1:42" ht="9.9499999999999993" customHeight="1">
      <c r="A51" s="417"/>
      <c r="B51" s="416"/>
      <c r="C51" s="416"/>
      <c r="D51" s="416"/>
      <c r="E51" s="416"/>
      <c r="F51" s="416"/>
      <c r="G51" s="416"/>
      <c r="H51" s="415"/>
      <c r="I51" s="380"/>
      <c r="J51" s="380"/>
      <c r="K51" s="380"/>
      <c r="L51" s="380"/>
      <c r="M51" s="380"/>
      <c r="N51" s="380"/>
      <c r="O51" s="380"/>
      <c r="P51" s="414"/>
      <c r="Q51" s="380"/>
      <c r="R51" s="380"/>
      <c r="S51" s="380"/>
      <c r="T51" s="380"/>
      <c r="U51" s="380"/>
      <c r="V51" s="380"/>
      <c r="W51" s="380"/>
      <c r="X51" s="380"/>
      <c r="Y51" s="380"/>
      <c r="Z51" s="380"/>
      <c r="AA51" s="380"/>
      <c r="AB51" s="380"/>
      <c r="AC51" s="380"/>
      <c r="AD51" s="403"/>
    </row>
    <row r="52" spans="1:42" ht="9.9499999999999993" customHeight="1">
      <c r="A52" s="421"/>
      <c r="B52" s="420"/>
      <c r="C52" s="420"/>
      <c r="D52" s="420"/>
      <c r="E52" s="420"/>
      <c r="F52" s="420"/>
      <c r="G52" s="420"/>
      <c r="H52" s="419"/>
      <c r="I52" s="411"/>
      <c r="J52" s="411"/>
      <c r="K52" s="411"/>
      <c r="L52" s="411"/>
      <c r="M52" s="411"/>
      <c r="N52" s="411"/>
      <c r="O52" s="411"/>
      <c r="P52" s="411"/>
      <c r="Q52" s="411"/>
      <c r="R52" s="411"/>
      <c r="S52" s="411"/>
      <c r="T52" s="411"/>
      <c r="U52" s="411"/>
      <c r="V52" s="411"/>
      <c r="W52" s="411"/>
      <c r="X52" s="411"/>
      <c r="Y52" s="411"/>
      <c r="Z52" s="411"/>
      <c r="AA52" s="411"/>
      <c r="AB52" s="411"/>
      <c r="AC52" s="411"/>
      <c r="AD52" s="418"/>
    </row>
    <row r="53" spans="1:42">
      <c r="A53" s="815" t="s">
        <v>3077</v>
      </c>
      <c r="B53" s="816"/>
      <c r="C53" s="816"/>
      <c r="D53" s="816"/>
      <c r="E53" s="816"/>
      <c r="F53" s="816"/>
      <c r="G53" s="816"/>
      <c r="H53" s="817"/>
      <c r="I53" s="389"/>
      <c r="K53" s="389" t="s">
        <v>2982</v>
      </c>
      <c r="M53" s="819" t="s">
        <v>3078</v>
      </c>
      <c r="N53" s="819"/>
      <c r="O53" s="819"/>
      <c r="P53" s="819"/>
      <c r="Q53" s="820"/>
      <c r="R53" s="820"/>
      <c r="S53" s="820"/>
      <c r="T53" s="820"/>
      <c r="U53" s="820"/>
      <c r="V53" s="389" t="s">
        <v>2762</v>
      </c>
      <c r="W53" s="389"/>
      <c r="X53" s="389"/>
      <c r="Y53" s="389"/>
      <c r="Z53" s="389"/>
      <c r="AA53" s="389"/>
      <c r="AB53" s="389"/>
      <c r="AC53" s="389"/>
      <c r="AD53" s="393"/>
      <c r="AG53" s="410" t="s">
        <v>3078</v>
      </c>
      <c r="AH53" s="410"/>
      <c r="AI53" s="410"/>
      <c r="AJ53" s="410"/>
      <c r="AK53" s="410"/>
      <c r="AL53" s="410"/>
      <c r="AM53" s="410"/>
      <c r="AN53" s="409"/>
      <c r="AO53" s="409"/>
      <c r="AP53" s="409"/>
    </row>
    <row r="54" spans="1:42" ht="9.9499999999999993" customHeight="1">
      <c r="A54" s="413"/>
      <c r="B54" s="408"/>
      <c r="C54" s="408"/>
      <c r="D54" s="408"/>
      <c r="E54" s="408"/>
      <c r="F54" s="408"/>
      <c r="G54" s="408"/>
      <c r="H54" s="412"/>
      <c r="I54" s="389"/>
      <c r="J54" s="389"/>
      <c r="K54" s="389"/>
      <c r="L54" s="389"/>
      <c r="M54" s="389"/>
      <c r="N54" s="389"/>
      <c r="O54" s="389"/>
      <c r="P54" s="414"/>
      <c r="Q54" s="389"/>
      <c r="R54" s="389"/>
      <c r="S54" s="389"/>
      <c r="T54" s="389"/>
      <c r="U54" s="389"/>
      <c r="V54" s="389"/>
      <c r="W54" s="389"/>
      <c r="X54" s="389"/>
      <c r="Y54" s="389"/>
      <c r="Z54" s="389"/>
      <c r="AA54" s="389"/>
      <c r="AB54" s="389"/>
      <c r="AC54" s="389"/>
      <c r="AD54" s="393"/>
      <c r="AG54" s="410" t="s">
        <v>3079</v>
      </c>
    </row>
    <row r="55" spans="1:42">
      <c r="A55" s="815" t="s">
        <v>3080</v>
      </c>
      <c r="B55" s="816"/>
      <c r="C55" s="816"/>
      <c r="D55" s="816"/>
      <c r="E55" s="816"/>
      <c r="F55" s="816"/>
      <c r="G55" s="816"/>
      <c r="H55" s="817"/>
      <c r="I55" s="389"/>
      <c r="J55" s="389"/>
      <c r="K55" s="389"/>
      <c r="L55" s="801" t="str">
        <f ca="1">TEXT(TODAY(),"ggg")</f>
        <v>令和</v>
      </c>
      <c r="M55" s="801"/>
      <c r="N55" s="392"/>
      <c r="O55" s="392" t="s">
        <v>2822</v>
      </c>
      <c r="P55" s="414"/>
      <c r="Q55" s="392" t="s">
        <v>2823</v>
      </c>
      <c r="R55" s="392"/>
      <c r="S55" s="392" t="s">
        <v>2824</v>
      </c>
      <c r="T55" s="389"/>
      <c r="U55" s="389"/>
      <c r="V55" s="389"/>
      <c r="W55" s="389"/>
      <c r="X55" s="389"/>
      <c r="Y55" s="389"/>
      <c r="Z55" s="389"/>
      <c r="AA55" s="389"/>
      <c r="AB55" s="389"/>
      <c r="AC55" s="389"/>
      <c r="AD55" s="393"/>
      <c r="AG55" s="410" t="s">
        <v>3081</v>
      </c>
    </row>
    <row r="56" spans="1:42" ht="9.9499999999999993" customHeight="1">
      <c r="A56" s="417"/>
      <c r="B56" s="416"/>
      <c r="C56" s="416"/>
      <c r="D56" s="416"/>
      <c r="E56" s="416"/>
      <c r="F56" s="416"/>
      <c r="G56" s="416"/>
      <c r="H56" s="415"/>
      <c r="I56" s="380"/>
      <c r="J56" s="380"/>
      <c r="K56" s="380"/>
      <c r="L56" s="380"/>
      <c r="M56" s="380"/>
      <c r="N56" s="380"/>
      <c r="O56" s="380"/>
      <c r="P56" s="414"/>
      <c r="Q56" s="380"/>
      <c r="R56" s="380"/>
      <c r="S56" s="380"/>
      <c r="T56" s="380"/>
      <c r="U56" s="380"/>
      <c r="V56" s="380"/>
      <c r="W56" s="380"/>
      <c r="X56" s="380"/>
      <c r="Y56" s="380"/>
      <c r="Z56" s="380"/>
      <c r="AA56" s="380"/>
      <c r="AB56" s="380"/>
      <c r="AC56" s="380"/>
      <c r="AD56" s="403"/>
      <c r="AG56" s="410" t="s">
        <v>3082</v>
      </c>
    </row>
    <row r="57" spans="1:42" ht="9.9499999999999993" customHeight="1">
      <c r="A57" s="413"/>
      <c r="B57" s="408"/>
      <c r="C57" s="408"/>
      <c r="D57" s="408"/>
      <c r="E57" s="408"/>
      <c r="F57" s="408"/>
      <c r="G57" s="408"/>
      <c r="H57" s="412"/>
      <c r="I57" s="389"/>
      <c r="J57" s="389"/>
      <c r="K57" s="389"/>
      <c r="L57" s="389"/>
      <c r="M57" s="389"/>
      <c r="N57" s="389"/>
      <c r="O57" s="389"/>
      <c r="P57" s="411"/>
      <c r="Q57" s="389"/>
      <c r="R57" s="389"/>
      <c r="S57" s="389"/>
      <c r="T57" s="389"/>
      <c r="U57" s="389"/>
      <c r="V57" s="389"/>
      <c r="W57" s="389"/>
      <c r="X57" s="389"/>
      <c r="Y57" s="389"/>
      <c r="Z57" s="389"/>
      <c r="AA57" s="389"/>
      <c r="AB57" s="389"/>
      <c r="AC57" s="389"/>
      <c r="AD57" s="393"/>
      <c r="AG57" s="410" t="s">
        <v>3083</v>
      </c>
    </row>
    <row r="58" spans="1:42">
      <c r="A58" s="815" t="s">
        <v>3084</v>
      </c>
      <c r="B58" s="816"/>
      <c r="C58" s="816"/>
      <c r="D58" s="816"/>
      <c r="E58" s="816"/>
      <c r="F58" s="816"/>
      <c r="G58" s="816"/>
      <c r="H58" s="817"/>
      <c r="I58" s="389"/>
      <c r="J58" s="804" t="s">
        <v>3085</v>
      </c>
      <c r="K58" s="804"/>
      <c r="L58" s="804"/>
      <c r="M58" s="804"/>
      <c r="N58" s="804"/>
      <c r="O58" s="389"/>
      <c r="P58" s="389"/>
      <c r="Q58" s="389"/>
      <c r="R58" s="389"/>
      <c r="S58" s="389"/>
      <c r="T58" s="389"/>
      <c r="U58" s="389"/>
      <c r="V58" s="801" t="str">
        <f t="shared" ref="V58:V61" ca="1" si="0">TEXT(TODAY(),"ggg")</f>
        <v>令和</v>
      </c>
      <c r="W58" s="801"/>
      <c r="X58" s="482" t="str">
        <f>cst_wskakunin_KOUJI_TYAKUSYU_YOTEI_DATE</f>
        <v/>
      </c>
      <c r="Y58" s="392" t="s">
        <v>2822</v>
      </c>
      <c r="Z58" s="483" t="str">
        <f>cst_wskakunin_KOUJI_TYAKUSYU_YOTEI_DATE</f>
        <v/>
      </c>
      <c r="AA58" s="392" t="s">
        <v>2823</v>
      </c>
      <c r="AB58" s="484" t="str">
        <f>cst_wskakunin_KOUJI_TYAKUSYU_YOTEI_DATE</f>
        <v/>
      </c>
      <c r="AC58" s="392" t="s">
        <v>2824</v>
      </c>
      <c r="AD58" s="407"/>
      <c r="AG58" s="410" t="s">
        <v>3086</v>
      </c>
      <c r="AH58" s="410"/>
      <c r="AI58" s="410"/>
      <c r="AJ58" s="410"/>
      <c r="AK58" s="410"/>
      <c r="AL58" s="409"/>
      <c r="AM58" s="409"/>
      <c r="AN58" s="409"/>
      <c r="AO58" s="409"/>
      <c r="AP58" s="409"/>
    </row>
    <row r="59" spans="1:42">
      <c r="A59" s="391"/>
      <c r="B59" s="375"/>
      <c r="C59" s="375"/>
      <c r="D59" s="375"/>
      <c r="E59" s="375"/>
      <c r="F59" s="375"/>
      <c r="G59" s="375"/>
      <c r="H59" s="390"/>
      <c r="I59" s="389"/>
      <c r="J59" s="804" t="s">
        <v>3087</v>
      </c>
      <c r="K59" s="804"/>
      <c r="L59" s="804"/>
      <c r="M59" s="804"/>
      <c r="N59" s="804"/>
      <c r="O59" s="389"/>
      <c r="P59" s="389"/>
      <c r="Q59" s="389"/>
      <c r="R59" s="389"/>
      <c r="S59" s="389"/>
      <c r="T59" s="389"/>
      <c r="U59" s="389"/>
      <c r="V59" s="801" t="str">
        <f t="shared" ca="1" si="0"/>
        <v>令和</v>
      </c>
      <c r="W59" s="801"/>
      <c r="X59" s="482" t="str">
        <f>cst_wskakunin_koutei01_KOUTEI_DATE</f>
        <v/>
      </c>
      <c r="Y59" s="392" t="s">
        <v>2822</v>
      </c>
      <c r="Z59" s="483" t="str">
        <f>cst_wskakunin_koutei01_KOUTEI_DATE</f>
        <v/>
      </c>
      <c r="AA59" s="392" t="s">
        <v>2823</v>
      </c>
      <c r="AB59" s="484" t="str">
        <f>cst_wskakunin_koutei01_KOUTEI_DATE</f>
        <v/>
      </c>
      <c r="AC59" s="392" t="s">
        <v>2824</v>
      </c>
      <c r="AD59" s="407"/>
      <c r="AI59" s="409" t="s">
        <v>2830</v>
      </c>
      <c r="AJ59" s="409"/>
      <c r="AK59" s="409"/>
      <c r="AL59" s="409"/>
      <c r="AM59" s="409"/>
      <c r="AN59" s="409"/>
      <c r="AO59" s="409"/>
      <c r="AP59" s="409"/>
    </row>
    <row r="60" spans="1:42">
      <c r="A60" s="827" t="s">
        <v>3088</v>
      </c>
      <c r="B60" s="828"/>
      <c r="C60" s="828"/>
      <c r="D60" s="828"/>
      <c r="E60" s="828"/>
      <c r="F60" s="828"/>
      <c r="G60" s="828"/>
      <c r="H60" s="829"/>
      <c r="I60" s="389"/>
      <c r="J60" s="804" t="s">
        <v>3089</v>
      </c>
      <c r="K60" s="804"/>
      <c r="L60" s="804"/>
      <c r="M60" s="804"/>
      <c r="N60" s="804"/>
      <c r="O60" s="389"/>
      <c r="P60" s="389"/>
      <c r="Q60" s="389"/>
      <c r="R60" s="389"/>
      <c r="S60" s="389"/>
      <c r="T60" s="389"/>
      <c r="U60" s="389"/>
      <c r="V60" s="801" t="str">
        <f t="shared" ca="1" si="0"/>
        <v>令和</v>
      </c>
      <c r="W60" s="801"/>
      <c r="X60" s="482" t="str">
        <f>cst_wskakunin_koutei02_KOUTEI_DATE</f>
        <v/>
      </c>
      <c r="Y60" s="392" t="s">
        <v>2822</v>
      </c>
      <c r="Z60" s="483" t="str">
        <f>cst_wskakunin_koutei02_KOUTEI_DATE</f>
        <v/>
      </c>
      <c r="AA60" s="392" t="s">
        <v>2823</v>
      </c>
      <c r="AB60" s="484" t="str">
        <f>cst_wskakunin_koutei02_KOUTEI_DATE</f>
        <v/>
      </c>
      <c r="AC60" s="392" t="s">
        <v>2824</v>
      </c>
      <c r="AD60" s="407"/>
      <c r="AI60" s="409" t="s">
        <v>2830</v>
      </c>
      <c r="AJ60" s="409"/>
      <c r="AK60" s="409"/>
      <c r="AL60" s="409"/>
      <c r="AM60" s="409"/>
      <c r="AN60" s="409"/>
      <c r="AO60" s="409"/>
      <c r="AP60" s="409"/>
    </row>
    <row r="61" spans="1:42">
      <c r="A61" s="827" t="s">
        <v>3090</v>
      </c>
      <c r="B61" s="828"/>
      <c r="C61" s="828"/>
      <c r="D61" s="828"/>
      <c r="E61" s="828"/>
      <c r="F61" s="828"/>
      <c r="G61" s="828"/>
      <c r="H61" s="829"/>
      <c r="I61" s="389"/>
      <c r="J61" s="804" t="s">
        <v>3091</v>
      </c>
      <c r="K61" s="804"/>
      <c r="L61" s="804"/>
      <c r="M61" s="804"/>
      <c r="N61" s="804"/>
      <c r="O61" s="389"/>
      <c r="P61" s="389"/>
      <c r="Q61" s="389"/>
      <c r="R61" s="389"/>
      <c r="S61" s="389"/>
      <c r="T61" s="389"/>
      <c r="U61" s="389"/>
      <c r="V61" s="801" t="str">
        <f t="shared" ca="1" si="0"/>
        <v>令和</v>
      </c>
      <c r="W61" s="801"/>
      <c r="X61" s="482">
        <f>cst_wskakunin_KOUJI_KANRYOU_YOTEI_DATE</f>
        <v>45416</v>
      </c>
      <c r="Y61" s="392" t="s">
        <v>2822</v>
      </c>
      <c r="Z61" s="483">
        <f>cst_wskakunin_KOUJI_KANRYOU_YOTEI_DATE</f>
        <v>45416</v>
      </c>
      <c r="AA61" s="392" t="s">
        <v>2823</v>
      </c>
      <c r="AB61" s="484">
        <f>cst_wskakunin_KOUJI_KANRYOU_YOTEI_DATE</f>
        <v>45416</v>
      </c>
      <c r="AC61" s="392" t="s">
        <v>2824</v>
      </c>
      <c r="AD61" s="407"/>
      <c r="AI61" s="818" t="s">
        <v>2830</v>
      </c>
      <c r="AJ61" s="818"/>
      <c r="AK61" s="818"/>
      <c r="AL61" s="818"/>
      <c r="AM61" s="818"/>
      <c r="AN61" s="818"/>
      <c r="AO61" s="818"/>
      <c r="AP61" s="818"/>
    </row>
    <row r="62" spans="1:42" ht="9.9499999999999993" customHeight="1">
      <c r="A62" s="406"/>
      <c r="B62" s="405"/>
      <c r="C62" s="405"/>
      <c r="D62" s="405"/>
      <c r="E62" s="405"/>
      <c r="F62" s="405"/>
      <c r="G62" s="405"/>
      <c r="H62" s="404"/>
      <c r="I62" s="380"/>
      <c r="J62" s="380"/>
      <c r="K62" s="380"/>
      <c r="L62" s="380"/>
      <c r="M62" s="380"/>
      <c r="N62" s="380"/>
      <c r="O62" s="380"/>
      <c r="P62" s="380"/>
      <c r="Q62" s="380"/>
      <c r="R62" s="380"/>
      <c r="S62" s="380"/>
      <c r="T62" s="380"/>
      <c r="U62" s="380"/>
      <c r="V62" s="380"/>
      <c r="W62" s="380"/>
      <c r="X62" s="380"/>
      <c r="Y62" s="380"/>
      <c r="Z62" s="380"/>
      <c r="AA62" s="380"/>
      <c r="AB62" s="380"/>
      <c r="AC62" s="380"/>
      <c r="AD62" s="403"/>
    </row>
    <row r="63" spans="1:42" ht="9.9499999999999993" customHeight="1">
      <c r="A63" s="402"/>
      <c r="B63" s="401"/>
      <c r="C63" s="401"/>
      <c r="D63" s="401"/>
      <c r="E63" s="401"/>
      <c r="F63" s="401"/>
      <c r="G63" s="401"/>
      <c r="H63" s="400"/>
      <c r="I63" s="389"/>
      <c r="J63" s="389"/>
      <c r="K63" s="389"/>
      <c r="L63" s="389"/>
      <c r="M63" s="389"/>
      <c r="N63" s="389"/>
      <c r="O63" s="389"/>
      <c r="P63" s="389"/>
      <c r="Q63" s="389"/>
      <c r="R63" s="389"/>
      <c r="S63" s="389"/>
      <c r="T63" s="389"/>
      <c r="U63" s="389"/>
      <c r="V63" s="389"/>
      <c r="W63" s="389"/>
      <c r="X63" s="389"/>
      <c r="Y63" s="389"/>
      <c r="Z63" s="389"/>
      <c r="AA63" s="389"/>
      <c r="AB63" s="389"/>
      <c r="AC63" s="389"/>
      <c r="AD63" s="393"/>
    </row>
    <row r="64" spans="1:42">
      <c r="A64" s="815" t="s">
        <v>3092</v>
      </c>
      <c r="B64" s="816"/>
      <c r="C64" s="816"/>
      <c r="D64" s="816"/>
      <c r="E64" s="816"/>
      <c r="F64" s="816"/>
      <c r="G64" s="816"/>
      <c r="H64" s="817"/>
      <c r="I64" s="389"/>
      <c r="J64" s="389"/>
      <c r="K64" s="389"/>
      <c r="L64" s="389"/>
      <c r="M64" s="389"/>
      <c r="N64" s="389"/>
      <c r="O64" s="389"/>
      <c r="P64" s="389"/>
      <c r="Q64" s="389"/>
      <c r="R64" s="389"/>
      <c r="S64" s="389"/>
      <c r="T64" s="389"/>
      <c r="U64" s="389"/>
      <c r="V64" s="389"/>
      <c r="W64" s="389"/>
      <c r="X64" s="389"/>
      <c r="Y64" s="389"/>
      <c r="Z64" s="389"/>
      <c r="AA64" s="389"/>
      <c r="AB64" s="389"/>
      <c r="AC64" s="389"/>
      <c r="AD64" s="393"/>
    </row>
    <row r="65" spans="1:32">
      <c r="A65" s="391"/>
      <c r="B65" s="375"/>
      <c r="C65" s="375"/>
      <c r="D65" s="375"/>
      <c r="E65" s="375"/>
      <c r="F65" s="375"/>
      <c r="G65" s="375"/>
      <c r="H65" s="390"/>
      <c r="I65" s="389"/>
      <c r="J65" s="389"/>
      <c r="K65" s="389"/>
      <c r="L65" s="389"/>
      <c r="M65" s="389"/>
      <c r="N65" s="389"/>
      <c r="O65" s="389"/>
      <c r="P65" s="389"/>
      <c r="Q65" s="389"/>
      <c r="R65" s="389"/>
      <c r="S65" s="389"/>
      <c r="T65" s="389"/>
      <c r="U65" s="389"/>
      <c r="V65" s="389"/>
      <c r="W65" s="389"/>
      <c r="X65" s="389"/>
      <c r="Y65" s="389"/>
      <c r="Z65" s="389"/>
      <c r="AA65" s="389"/>
      <c r="AB65" s="389"/>
      <c r="AC65" s="389"/>
      <c r="AD65" s="393"/>
    </row>
    <row r="66" spans="1:32">
      <c r="A66" s="837" t="s">
        <v>3093</v>
      </c>
      <c r="B66" s="838"/>
      <c r="C66" s="838"/>
      <c r="D66" s="838"/>
      <c r="E66" s="838"/>
      <c r="F66" s="838"/>
      <c r="G66" s="838"/>
      <c r="H66" s="839"/>
      <c r="I66" s="389"/>
      <c r="J66" s="389"/>
      <c r="K66" s="389"/>
      <c r="L66" s="389"/>
      <c r="M66" s="389"/>
      <c r="N66" s="389"/>
      <c r="O66" s="389"/>
      <c r="P66" s="389"/>
      <c r="Q66" s="389"/>
      <c r="R66" s="389"/>
      <c r="S66" s="389"/>
      <c r="T66" s="389"/>
      <c r="U66" s="389"/>
      <c r="V66" s="389"/>
      <c r="W66" s="389"/>
      <c r="X66" s="389"/>
      <c r="Y66" s="389"/>
      <c r="Z66" s="389"/>
      <c r="AA66" s="389"/>
      <c r="AB66" s="389"/>
      <c r="AC66" s="389"/>
      <c r="AD66" s="393"/>
    </row>
    <row r="67" spans="1:32">
      <c r="A67" s="837" t="s">
        <v>3094</v>
      </c>
      <c r="B67" s="838"/>
      <c r="C67" s="838"/>
      <c r="D67" s="838"/>
      <c r="E67" s="838"/>
      <c r="F67" s="838"/>
      <c r="G67" s="838"/>
      <c r="H67" s="839"/>
      <c r="I67" s="389"/>
      <c r="J67" s="389"/>
      <c r="K67" s="389"/>
      <c r="L67" s="389"/>
      <c r="M67" s="389"/>
      <c r="N67" s="389"/>
      <c r="O67" s="389"/>
      <c r="P67" s="389"/>
      <c r="Q67" s="389"/>
      <c r="R67" s="389"/>
      <c r="S67" s="389"/>
      <c r="T67" s="389"/>
      <c r="U67" s="389"/>
      <c r="V67" s="389"/>
      <c r="W67" s="389"/>
      <c r="X67" s="389"/>
      <c r="Y67" s="389"/>
      <c r="Z67" s="389"/>
      <c r="AA67" s="389"/>
      <c r="AB67" s="389"/>
      <c r="AC67" s="389"/>
      <c r="AD67" s="393"/>
    </row>
    <row r="68" spans="1:32" ht="9.9499999999999993" customHeight="1">
      <c r="A68" s="396"/>
      <c r="B68" s="395"/>
      <c r="C68" s="395"/>
      <c r="D68" s="395"/>
      <c r="E68" s="395"/>
      <c r="F68" s="395"/>
      <c r="G68" s="395"/>
      <c r="H68" s="394"/>
      <c r="I68" s="389"/>
      <c r="J68" s="389"/>
      <c r="K68" s="389"/>
      <c r="L68" s="389"/>
      <c r="M68" s="389"/>
      <c r="N68" s="389"/>
      <c r="O68" s="389"/>
      <c r="P68" s="389"/>
      <c r="Q68" s="389"/>
      <c r="R68" s="389"/>
      <c r="S68" s="389"/>
      <c r="T68" s="389"/>
      <c r="U68" s="389"/>
      <c r="V68" s="389"/>
      <c r="W68" s="389"/>
      <c r="X68" s="389"/>
      <c r="Y68" s="389"/>
      <c r="Z68" s="389"/>
      <c r="AA68" s="389"/>
      <c r="AB68" s="389"/>
      <c r="AC68" s="389"/>
      <c r="AD68" s="393"/>
    </row>
    <row r="69" spans="1:32">
      <c r="A69" s="831" t="s">
        <v>3095</v>
      </c>
      <c r="B69" s="832"/>
      <c r="C69" s="832"/>
      <c r="D69" s="832"/>
      <c r="E69" s="832"/>
      <c r="F69" s="832"/>
      <c r="G69" s="832"/>
      <c r="H69" s="833"/>
      <c r="I69" s="834" t="s">
        <v>3096</v>
      </c>
      <c r="J69" s="835"/>
      <c r="K69" s="835"/>
      <c r="L69" s="835"/>
      <c r="M69" s="835"/>
      <c r="N69" s="835"/>
      <c r="O69" s="835"/>
      <c r="P69" s="835"/>
      <c r="Q69" s="835"/>
      <c r="R69" s="835"/>
      <c r="S69" s="836"/>
      <c r="T69" s="834" t="s">
        <v>3097</v>
      </c>
      <c r="U69" s="840"/>
      <c r="V69" s="840"/>
      <c r="W69" s="840"/>
      <c r="X69" s="840"/>
      <c r="Y69" s="840"/>
      <c r="Z69" s="840"/>
      <c r="AA69" s="840"/>
      <c r="AB69" s="840"/>
      <c r="AC69" s="840"/>
      <c r="AD69" s="841"/>
    </row>
    <row r="70" spans="1:32">
      <c r="A70" s="391"/>
      <c r="B70" s="375"/>
      <c r="C70" s="375"/>
      <c r="D70" s="375"/>
      <c r="E70" s="375"/>
      <c r="F70" s="375"/>
      <c r="G70" s="375"/>
      <c r="H70" s="390"/>
      <c r="I70" s="389"/>
      <c r="J70" s="389"/>
      <c r="K70" s="389"/>
      <c r="L70" s="389"/>
      <c r="M70" s="389"/>
      <c r="N70" s="389"/>
      <c r="O70" s="389"/>
      <c r="P70" s="389"/>
      <c r="Q70" s="389"/>
      <c r="R70" s="389"/>
      <c r="S70" s="389"/>
      <c r="T70" s="388"/>
      <c r="U70" s="387"/>
      <c r="V70" s="387"/>
      <c r="W70" s="387"/>
      <c r="X70" s="387"/>
      <c r="Y70" s="387"/>
      <c r="Z70" s="387"/>
      <c r="AA70" s="387"/>
      <c r="AB70" s="387"/>
      <c r="AC70" s="387"/>
      <c r="AD70" s="386"/>
    </row>
    <row r="71" spans="1:32">
      <c r="A71" s="391"/>
      <c r="B71" s="375"/>
      <c r="C71" s="375"/>
      <c r="D71" s="375"/>
      <c r="E71" s="375"/>
      <c r="F71" s="375"/>
      <c r="G71" s="375"/>
      <c r="H71" s="390"/>
      <c r="I71" s="389"/>
      <c r="J71" s="389"/>
      <c r="K71" s="389"/>
      <c r="L71" s="389"/>
      <c r="M71" s="389"/>
      <c r="N71" s="389"/>
      <c r="O71" s="389"/>
      <c r="P71" s="389"/>
      <c r="Q71" s="389"/>
      <c r="R71" s="389"/>
      <c r="S71" s="389"/>
      <c r="T71" s="382"/>
      <c r="U71" s="381"/>
      <c r="V71" s="801" t="s">
        <v>3098</v>
      </c>
      <c r="W71" s="801"/>
      <c r="X71" s="392"/>
      <c r="Y71" s="392" t="s">
        <v>2822</v>
      </c>
      <c r="Z71" s="392"/>
      <c r="AA71" s="392" t="s">
        <v>2823</v>
      </c>
      <c r="AB71" s="392"/>
      <c r="AC71" s="392" t="s">
        <v>2824</v>
      </c>
      <c r="AD71" s="379"/>
    </row>
    <row r="72" spans="1:32">
      <c r="A72" s="391"/>
      <c r="B72" s="375"/>
      <c r="C72" s="375"/>
      <c r="D72" s="375"/>
      <c r="E72" s="375"/>
      <c r="F72" s="375"/>
      <c r="G72" s="375"/>
      <c r="H72" s="390"/>
      <c r="I72" s="389"/>
      <c r="J72" s="389"/>
      <c r="K72" s="389"/>
      <c r="L72" s="389"/>
      <c r="M72" s="389"/>
      <c r="N72" s="389"/>
      <c r="O72" s="389"/>
      <c r="P72" s="389"/>
      <c r="Q72" s="389"/>
      <c r="R72" s="389"/>
      <c r="S72" s="389"/>
      <c r="T72" s="388"/>
      <c r="U72" s="387"/>
      <c r="V72" s="387"/>
      <c r="W72" s="387"/>
      <c r="X72" s="387"/>
      <c r="Y72" s="387"/>
      <c r="Z72" s="387"/>
      <c r="AA72" s="387"/>
      <c r="AB72" s="387"/>
      <c r="AC72" s="387"/>
      <c r="AD72" s="386"/>
    </row>
    <row r="73" spans="1:32">
      <c r="A73" s="385"/>
      <c r="B73" s="384"/>
      <c r="C73" s="384"/>
      <c r="D73" s="384"/>
      <c r="E73" s="384"/>
      <c r="F73" s="384"/>
      <c r="G73" s="384"/>
      <c r="H73" s="383"/>
      <c r="I73" s="380"/>
      <c r="J73" s="380"/>
      <c r="K73" s="380"/>
      <c r="L73" s="380"/>
      <c r="M73" s="380"/>
      <c r="N73" s="380"/>
      <c r="O73" s="380"/>
      <c r="P73" s="380"/>
      <c r="Q73" s="380"/>
      <c r="R73" s="380"/>
      <c r="S73" s="380"/>
      <c r="T73" s="382"/>
      <c r="U73" s="381"/>
      <c r="V73" s="380" t="s">
        <v>2831</v>
      </c>
      <c r="W73" s="830"/>
      <c r="X73" s="830"/>
      <c r="Y73" s="830"/>
      <c r="Z73" s="830"/>
      <c r="AA73" s="830"/>
      <c r="AB73" s="830"/>
      <c r="AC73" s="380" t="s">
        <v>2762</v>
      </c>
      <c r="AD73" s="379"/>
    </row>
    <row r="74" spans="1:32">
      <c r="A74" s="376" t="s">
        <v>3099</v>
      </c>
      <c r="B74" s="376"/>
      <c r="C74" s="376" t="s">
        <v>3100</v>
      </c>
      <c r="D74" s="376"/>
      <c r="E74" s="376"/>
      <c r="F74" s="376"/>
      <c r="G74" s="376"/>
      <c r="H74" s="376"/>
      <c r="I74" s="376"/>
      <c r="J74" s="376"/>
      <c r="K74" s="376"/>
      <c r="L74" s="376"/>
      <c r="M74" s="376"/>
      <c r="N74" s="376"/>
      <c r="O74" s="376"/>
      <c r="P74" s="376"/>
      <c r="Q74" s="376"/>
      <c r="R74" s="376"/>
      <c r="S74" s="375"/>
      <c r="T74" s="375"/>
      <c r="U74" s="375"/>
      <c r="V74" s="375"/>
      <c r="W74" s="375"/>
      <c r="X74" s="375"/>
      <c r="Y74" s="375"/>
      <c r="Z74" s="375"/>
      <c r="AA74" s="375"/>
      <c r="AB74" s="375"/>
      <c r="AC74" s="375"/>
      <c r="AD74" s="375"/>
    </row>
    <row r="75" spans="1:32">
      <c r="A75" s="376"/>
      <c r="B75" s="376"/>
      <c r="C75" s="378" t="s">
        <v>3101</v>
      </c>
      <c r="D75" s="376"/>
      <c r="E75" s="376"/>
      <c r="F75" s="376"/>
      <c r="G75" s="376"/>
      <c r="H75" s="376"/>
      <c r="I75" s="376"/>
      <c r="J75" s="376"/>
      <c r="K75" s="376"/>
      <c r="L75" s="376"/>
      <c r="M75" s="376"/>
      <c r="N75" s="376"/>
      <c r="O75" s="376"/>
      <c r="P75" s="376"/>
      <c r="Q75" s="376"/>
      <c r="R75" s="376"/>
      <c r="S75" s="375"/>
      <c r="T75" s="375"/>
      <c r="U75" s="375"/>
      <c r="V75" s="375"/>
      <c r="W75" s="375"/>
      <c r="X75" s="375"/>
      <c r="Y75" s="375"/>
      <c r="Z75" s="375"/>
      <c r="AA75" s="375"/>
      <c r="AB75" s="375"/>
      <c r="AC75" s="375"/>
      <c r="AD75" s="375"/>
    </row>
    <row r="76" spans="1:32">
      <c r="A76" s="376"/>
      <c r="B76" s="376"/>
      <c r="C76" s="378" t="s">
        <v>3102</v>
      </c>
      <c r="D76" s="376"/>
      <c r="E76" s="376"/>
      <c r="F76" s="376"/>
      <c r="G76" s="376"/>
      <c r="H76" s="376"/>
      <c r="I76" s="376"/>
      <c r="J76" s="376"/>
      <c r="K76" s="376"/>
      <c r="L76" s="376"/>
      <c r="M76" s="376"/>
      <c r="N76" s="376"/>
      <c r="O76" s="376"/>
      <c r="P76" s="376"/>
      <c r="Q76" s="376"/>
      <c r="R76" s="376"/>
      <c r="S76" s="375"/>
      <c r="T76" s="375"/>
      <c r="U76" s="375"/>
      <c r="V76" s="375"/>
      <c r="W76" s="375"/>
      <c r="X76" s="375"/>
      <c r="Y76" s="375"/>
      <c r="Z76" s="375"/>
      <c r="AA76" s="375"/>
      <c r="AB76" s="375"/>
      <c r="AC76" s="375"/>
      <c r="AD76" s="375"/>
    </row>
    <row r="77" spans="1:32">
      <c r="A77" s="375"/>
      <c r="B77" s="375"/>
      <c r="C77" s="376" t="s">
        <v>3103</v>
      </c>
      <c r="D77" s="376"/>
      <c r="E77" s="375"/>
      <c r="F77" s="375"/>
      <c r="G77" s="375"/>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row>
    <row r="78" spans="1:32">
      <c r="A78" s="375"/>
      <c r="B78" s="375"/>
      <c r="D78" s="376"/>
      <c r="E78" s="375"/>
      <c r="F78" s="375"/>
      <c r="G78" s="375"/>
      <c r="H78" s="375"/>
      <c r="I78" s="375"/>
      <c r="J78" s="375"/>
      <c r="K78" s="375"/>
      <c r="L78" s="375"/>
      <c r="M78" s="375"/>
      <c r="N78" s="375"/>
      <c r="O78" s="375"/>
      <c r="P78" s="375"/>
      <c r="Q78" s="375"/>
      <c r="R78" s="375"/>
      <c r="S78" s="375"/>
      <c r="T78" s="375"/>
      <c r="U78" s="375"/>
      <c r="V78" s="375"/>
      <c r="W78" s="375"/>
      <c r="Y78" s="377"/>
      <c r="Z78" s="377"/>
      <c r="AA78" s="377"/>
      <c r="AB78" s="377"/>
      <c r="AC78" s="377"/>
      <c r="AD78" s="377"/>
      <c r="AE78" s="377"/>
      <c r="AF78" s="377"/>
    </row>
    <row r="79" spans="1:32">
      <c r="A79" s="375"/>
      <c r="B79" s="375"/>
      <c r="D79" s="376"/>
      <c r="E79" s="375"/>
      <c r="F79" s="375"/>
      <c r="P79" s="375"/>
      <c r="Y79" s="377"/>
      <c r="Z79" s="377"/>
      <c r="AA79" s="377"/>
      <c r="AB79" s="377"/>
      <c r="AC79" s="377"/>
      <c r="AD79" s="377"/>
      <c r="AE79" s="377"/>
      <c r="AF79" s="377"/>
    </row>
    <row r="80" spans="1:32">
      <c r="A80" s="375"/>
      <c r="B80" s="375"/>
      <c r="D80" s="375"/>
      <c r="E80" s="375"/>
      <c r="F80" s="375"/>
      <c r="P80" s="375"/>
      <c r="Y80" s="375"/>
      <c r="Z80" s="375"/>
      <c r="AA80" s="375"/>
      <c r="AB80" s="375"/>
      <c r="AC80" s="375"/>
      <c r="AD80" s="375"/>
      <c r="AE80" s="375"/>
      <c r="AF80" s="375"/>
    </row>
    <row r="81" spans="1:30">
      <c r="A81" s="375"/>
      <c r="B81" s="375"/>
      <c r="C81" s="375"/>
      <c r="D81" s="375"/>
      <c r="E81" s="375"/>
      <c r="F81" s="375"/>
      <c r="G81" s="375"/>
      <c r="H81" s="375"/>
      <c r="I81" s="375"/>
      <c r="J81" s="375"/>
      <c r="K81" s="375"/>
      <c r="L81" s="375"/>
      <c r="M81" s="375"/>
      <c r="N81" s="375"/>
      <c r="O81" s="375"/>
      <c r="P81" s="375"/>
      <c r="Q81" s="375"/>
      <c r="R81" s="375"/>
      <c r="S81" s="375"/>
      <c r="T81" s="375"/>
      <c r="U81" s="375"/>
      <c r="V81" s="375"/>
      <c r="W81" s="375"/>
      <c r="X81" s="375"/>
      <c r="Y81" s="375"/>
      <c r="Z81" s="375"/>
      <c r="AA81" s="375"/>
      <c r="AB81" s="375"/>
      <c r="AC81" s="375"/>
      <c r="AD81" s="375"/>
    </row>
    <row r="82" spans="1:30">
      <c r="A82" s="375"/>
      <c r="B82" s="375"/>
      <c r="C82" s="376" t="s">
        <v>2815</v>
      </c>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row>
    <row r="83" spans="1:30">
      <c r="A83" s="375"/>
      <c r="B83" s="375"/>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row>
    <row r="84" spans="1:30">
      <c r="A84" s="375"/>
      <c r="B84" s="375"/>
      <c r="C84" s="375"/>
      <c r="D84" s="375"/>
      <c r="E84" s="375"/>
      <c r="F84" s="375"/>
      <c r="G84" s="375"/>
      <c r="H84" s="375"/>
      <c r="I84" s="375"/>
      <c r="J84" s="375"/>
      <c r="K84" s="375"/>
      <c r="L84" s="375"/>
      <c r="M84" s="375"/>
      <c r="N84" s="375"/>
      <c r="O84" s="375"/>
      <c r="P84" s="375"/>
      <c r="Q84" s="375"/>
      <c r="R84" s="375"/>
      <c r="S84" s="375"/>
      <c r="T84" s="375"/>
      <c r="U84" s="375"/>
      <c r="V84" s="375"/>
      <c r="W84" s="375"/>
      <c r="X84" s="375"/>
      <c r="Y84" s="375"/>
      <c r="Z84" s="375"/>
      <c r="AA84" s="375"/>
      <c r="AB84" s="375"/>
      <c r="AC84" s="375"/>
      <c r="AD84" s="375"/>
    </row>
    <row r="85" spans="1:30">
      <c r="A85" s="375"/>
      <c r="B85" s="375"/>
      <c r="C85" s="375"/>
      <c r="D85" s="375"/>
      <c r="E85" s="375"/>
      <c r="F85" s="375"/>
      <c r="G85" s="375"/>
      <c r="H85" s="375"/>
      <c r="I85" s="375"/>
      <c r="J85" s="375"/>
      <c r="K85" s="375"/>
      <c r="L85" s="375"/>
      <c r="M85" s="375"/>
      <c r="N85" s="375"/>
      <c r="O85" s="375"/>
      <c r="P85" s="375"/>
      <c r="Q85" s="375"/>
      <c r="R85" s="375"/>
      <c r="S85" s="375"/>
      <c r="T85" s="375"/>
      <c r="U85" s="375"/>
      <c r="V85" s="375"/>
      <c r="W85" s="375"/>
      <c r="X85" s="375"/>
      <c r="Y85" s="375"/>
      <c r="Z85" s="375"/>
      <c r="AA85" s="375"/>
      <c r="AB85" s="375"/>
      <c r="AC85" s="375"/>
      <c r="AD85" s="375"/>
    </row>
    <row r="86" spans="1:30">
      <c r="A86" s="375"/>
      <c r="B86" s="375"/>
      <c r="C86" s="375"/>
      <c r="D86" s="375"/>
      <c r="E86" s="375"/>
      <c r="F86" s="375"/>
      <c r="G86" s="375"/>
      <c r="H86" s="375"/>
      <c r="I86" s="375"/>
      <c r="J86" s="375"/>
      <c r="K86" s="375"/>
      <c r="L86" s="375"/>
      <c r="M86" s="375"/>
      <c r="N86" s="375"/>
      <c r="O86" s="375"/>
      <c r="P86" s="375"/>
      <c r="Q86" s="375"/>
      <c r="R86" s="375"/>
      <c r="S86" s="375"/>
      <c r="T86" s="375"/>
      <c r="U86" s="375"/>
      <c r="V86" s="375"/>
      <c r="W86" s="375"/>
      <c r="X86" s="375"/>
      <c r="Y86" s="375"/>
      <c r="Z86" s="375"/>
      <c r="AA86" s="375"/>
      <c r="AB86" s="375"/>
      <c r="AC86" s="375"/>
      <c r="AD86" s="375"/>
    </row>
    <row r="87" spans="1:30">
      <c r="A87" s="375"/>
      <c r="B87" s="375"/>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row>
    <row r="88" spans="1:30">
      <c r="A88" s="375"/>
      <c r="B88" s="375"/>
      <c r="C88" s="375"/>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row>
    <row r="89" spans="1:30">
      <c r="A89" s="375"/>
      <c r="B89" s="375"/>
      <c r="C89" s="375"/>
      <c r="D89" s="375"/>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row>
    <row r="90" spans="1:30">
      <c r="A90" s="375"/>
      <c r="B90" s="375"/>
      <c r="C90" s="375"/>
      <c r="D90" s="375"/>
      <c r="E90" s="37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5"/>
    </row>
    <row r="91" spans="1:30">
      <c r="A91" s="375"/>
      <c r="B91" s="375"/>
      <c r="C91" s="375"/>
      <c r="D91" s="375"/>
      <c r="E91" s="375"/>
      <c r="F91" s="375"/>
      <c r="G91" s="375"/>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row>
    <row r="92" spans="1:30">
      <c r="A92" s="375"/>
      <c r="B92" s="375"/>
      <c r="C92" s="375"/>
      <c r="D92" s="375"/>
      <c r="E92" s="375"/>
      <c r="F92" s="375"/>
      <c r="G92" s="375"/>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row>
    <row r="93" spans="1:30">
      <c r="A93" s="375"/>
      <c r="B93" s="375"/>
      <c r="C93" s="375"/>
      <c r="D93" s="375"/>
      <c r="E93" s="375"/>
      <c r="F93" s="375"/>
      <c r="G93" s="375"/>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row>
    <row r="94" spans="1:30">
      <c r="A94" s="375"/>
      <c r="B94" s="375"/>
      <c r="C94" s="375"/>
      <c r="D94" s="375"/>
      <c r="E94" s="375"/>
      <c r="F94" s="375"/>
      <c r="G94" s="375"/>
      <c r="H94" s="375"/>
      <c r="I94" s="375"/>
      <c r="J94" s="375"/>
      <c r="K94" s="375"/>
      <c r="L94" s="375"/>
      <c r="M94" s="375"/>
      <c r="N94" s="375"/>
      <c r="O94" s="375"/>
      <c r="P94" s="375"/>
      <c r="Q94" s="375"/>
      <c r="R94" s="375"/>
      <c r="S94" s="375"/>
      <c r="T94" s="375"/>
      <c r="U94" s="375"/>
      <c r="V94" s="375"/>
      <c r="W94" s="375"/>
      <c r="X94" s="375"/>
      <c r="Y94" s="375"/>
      <c r="Z94" s="375"/>
      <c r="AA94" s="375"/>
      <c r="AB94" s="375"/>
      <c r="AC94" s="375"/>
      <c r="AD94" s="375"/>
    </row>
    <row r="95" spans="1:30">
      <c r="A95" s="375"/>
      <c r="B95" s="375"/>
      <c r="C95" s="375"/>
      <c r="D95" s="375"/>
      <c r="E95" s="375"/>
      <c r="F95" s="375"/>
      <c r="G95" s="375"/>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row>
    <row r="96" spans="1:30">
      <c r="A96" s="375"/>
      <c r="B96" s="375"/>
      <c r="C96" s="375"/>
      <c r="D96" s="375"/>
      <c r="E96" s="375"/>
      <c r="F96" s="375"/>
      <c r="G96" s="375"/>
      <c r="H96" s="375"/>
      <c r="I96" s="375"/>
      <c r="J96" s="375"/>
      <c r="K96" s="375"/>
      <c r="L96" s="375"/>
      <c r="M96" s="375"/>
      <c r="N96" s="375"/>
      <c r="O96" s="375"/>
      <c r="P96" s="375"/>
      <c r="Q96" s="375"/>
      <c r="R96" s="375"/>
      <c r="S96" s="375"/>
      <c r="T96" s="375"/>
      <c r="U96" s="375"/>
      <c r="V96" s="375"/>
      <c r="W96" s="375"/>
      <c r="X96" s="375"/>
      <c r="Y96" s="375"/>
      <c r="Z96" s="375"/>
      <c r="AA96" s="375"/>
      <c r="AB96" s="375"/>
      <c r="AC96" s="375"/>
      <c r="AD96" s="375"/>
    </row>
    <row r="97" spans="1:30">
      <c r="A97" s="375"/>
      <c r="B97" s="375"/>
      <c r="C97" s="375"/>
      <c r="D97" s="375"/>
      <c r="E97" s="375"/>
      <c r="F97" s="375"/>
      <c r="G97" s="375"/>
      <c r="H97" s="375"/>
      <c r="I97" s="375"/>
      <c r="J97" s="375"/>
      <c r="K97" s="375"/>
      <c r="L97" s="375"/>
      <c r="M97" s="375"/>
      <c r="N97" s="375"/>
      <c r="O97" s="375"/>
      <c r="P97" s="375"/>
      <c r="Q97" s="375"/>
      <c r="R97" s="375"/>
      <c r="S97" s="375"/>
      <c r="T97" s="375"/>
      <c r="U97" s="375"/>
      <c r="V97" s="375"/>
      <c r="W97" s="375"/>
      <c r="X97" s="375"/>
      <c r="Y97" s="375"/>
      <c r="Z97" s="375"/>
      <c r="AA97" s="375"/>
      <c r="AB97" s="375"/>
      <c r="AC97" s="375"/>
      <c r="AD97" s="375"/>
    </row>
    <row r="98" spans="1:30">
      <c r="A98" s="375"/>
      <c r="B98" s="375"/>
      <c r="C98" s="375"/>
      <c r="D98" s="375"/>
      <c r="E98" s="375"/>
      <c r="F98" s="375"/>
      <c r="G98" s="375"/>
      <c r="H98" s="375"/>
      <c r="I98" s="375"/>
      <c r="J98" s="375"/>
      <c r="K98" s="375"/>
      <c r="L98" s="375"/>
      <c r="M98" s="375"/>
      <c r="N98" s="375"/>
      <c r="O98" s="375"/>
      <c r="P98" s="375"/>
      <c r="Q98" s="375"/>
      <c r="R98" s="375"/>
      <c r="S98" s="375"/>
      <c r="T98" s="375"/>
      <c r="U98" s="375"/>
      <c r="V98" s="375"/>
      <c r="W98" s="375"/>
      <c r="X98" s="375"/>
      <c r="Y98" s="375"/>
      <c r="Z98" s="375"/>
      <c r="AA98" s="375"/>
      <c r="AB98" s="375"/>
      <c r="AC98" s="375"/>
      <c r="AD98" s="375"/>
    </row>
    <row r="99" spans="1:30">
      <c r="A99" s="375"/>
      <c r="B99" s="375"/>
      <c r="C99" s="375"/>
      <c r="D99" s="375"/>
      <c r="E99" s="375"/>
      <c r="F99" s="375"/>
      <c r="G99" s="375"/>
      <c r="H99" s="375"/>
      <c r="I99" s="375"/>
      <c r="J99" s="375"/>
      <c r="K99" s="375"/>
      <c r="L99" s="375"/>
      <c r="M99" s="375"/>
      <c r="N99" s="375"/>
      <c r="O99" s="375"/>
      <c r="P99" s="375"/>
      <c r="Q99" s="375"/>
      <c r="R99" s="375"/>
      <c r="S99" s="375"/>
      <c r="T99" s="375"/>
      <c r="U99" s="375"/>
      <c r="V99" s="375"/>
      <c r="W99" s="375"/>
      <c r="X99" s="375"/>
      <c r="Y99" s="375"/>
      <c r="Z99" s="375"/>
      <c r="AA99" s="375"/>
      <c r="AB99" s="375"/>
      <c r="AC99" s="375"/>
      <c r="AD99" s="375"/>
    </row>
    <row r="100" spans="1:30">
      <c r="A100" s="375"/>
      <c r="B100" s="375"/>
      <c r="C100" s="375"/>
      <c r="D100" s="375"/>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5"/>
      <c r="AA100" s="375"/>
      <c r="AB100" s="375"/>
      <c r="AC100" s="375"/>
      <c r="AD100" s="375"/>
    </row>
    <row r="101" spans="1:30">
      <c r="A101" s="375"/>
      <c r="B101" s="375"/>
      <c r="C101" s="375"/>
      <c r="D101" s="375"/>
      <c r="E101" s="375"/>
      <c r="F101" s="375"/>
      <c r="G101" s="375"/>
      <c r="H101" s="375"/>
      <c r="I101" s="375"/>
      <c r="J101" s="375"/>
      <c r="K101" s="375"/>
      <c r="L101" s="375"/>
      <c r="M101" s="375"/>
      <c r="N101" s="375"/>
      <c r="O101" s="375"/>
      <c r="P101" s="375"/>
      <c r="Q101" s="375"/>
      <c r="R101" s="375"/>
      <c r="S101" s="375"/>
      <c r="T101" s="375"/>
      <c r="U101" s="375"/>
      <c r="V101" s="375"/>
      <c r="W101" s="375"/>
      <c r="X101" s="375"/>
      <c r="Y101" s="375"/>
      <c r="Z101" s="375"/>
      <c r="AA101" s="375"/>
      <c r="AB101" s="375"/>
      <c r="AC101" s="375"/>
      <c r="AD101" s="375"/>
    </row>
    <row r="102" spans="1:30">
      <c r="A102" s="375"/>
      <c r="B102" s="375"/>
      <c r="C102" s="375"/>
      <c r="D102" s="375"/>
      <c r="E102" s="375"/>
      <c r="F102" s="375"/>
      <c r="G102" s="375"/>
      <c r="H102" s="375"/>
      <c r="I102" s="375"/>
      <c r="J102" s="375"/>
      <c r="K102" s="375"/>
      <c r="L102" s="375"/>
      <c r="M102" s="375"/>
      <c r="N102" s="375"/>
      <c r="O102" s="375"/>
      <c r="P102" s="375"/>
      <c r="Q102" s="375"/>
      <c r="R102" s="375"/>
      <c r="S102" s="375"/>
      <c r="T102" s="375"/>
      <c r="U102" s="375"/>
      <c r="V102" s="375"/>
      <c r="W102" s="375"/>
      <c r="X102" s="375"/>
      <c r="Y102" s="375"/>
      <c r="Z102" s="375"/>
      <c r="AA102" s="375"/>
      <c r="AB102" s="375"/>
      <c r="AC102" s="375"/>
      <c r="AD102" s="375"/>
    </row>
    <row r="103" spans="1:30">
      <c r="A103" s="375"/>
      <c r="B103" s="375"/>
      <c r="C103" s="375"/>
      <c r="D103" s="375"/>
      <c r="E103" s="375"/>
      <c r="F103" s="375"/>
      <c r="G103" s="375"/>
      <c r="H103" s="375"/>
      <c r="I103" s="375"/>
      <c r="J103" s="375"/>
      <c r="K103" s="375"/>
      <c r="L103" s="375"/>
      <c r="M103" s="375"/>
      <c r="N103" s="375"/>
      <c r="O103" s="375"/>
      <c r="P103" s="375"/>
      <c r="Q103" s="375"/>
      <c r="R103" s="375"/>
      <c r="S103" s="375"/>
      <c r="T103" s="375"/>
      <c r="U103" s="375"/>
      <c r="V103" s="375"/>
      <c r="W103" s="375"/>
      <c r="X103" s="375"/>
      <c r="Y103" s="375"/>
      <c r="Z103" s="375"/>
      <c r="AA103" s="375"/>
      <c r="AB103" s="375"/>
      <c r="AC103" s="375"/>
      <c r="AD103" s="375"/>
    </row>
    <row r="104" spans="1:30">
      <c r="A104" s="375"/>
      <c r="B104" s="375"/>
      <c r="C104" s="375"/>
      <c r="D104" s="375"/>
      <c r="E104" s="375"/>
      <c r="F104" s="375"/>
      <c r="G104" s="375"/>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row>
    <row r="105" spans="1:30">
      <c r="A105" s="375"/>
      <c r="B105" s="375"/>
      <c r="C105" s="375"/>
      <c r="D105" s="375"/>
      <c r="E105" s="375"/>
      <c r="F105" s="375"/>
      <c r="G105" s="375"/>
      <c r="H105" s="375"/>
      <c r="I105" s="375"/>
      <c r="J105" s="375"/>
      <c r="K105" s="375"/>
      <c r="L105" s="375"/>
      <c r="M105" s="375"/>
      <c r="N105" s="375"/>
      <c r="O105" s="375"/>
      <c r="P105" s="375"/>
      <c r="Q105" s="375"/>
      <c r="R105" s="375"/>
      <c r="S105" s="375"/>
      <c r="T105" s="375"/>
      <c r="U105" s="375"/>
      <c r="V105" s="375"/>
      <c r="W105" s="375"/>
      <c r="X105" s="375"/>
      <c r="Y105" s="375"/>
      <c r="Z105" s="375"/>
      <c r="AA105" s="375"/>
      <c r="AB105" s="375"/>
      <c r="AC105" s="375"/>
      <c r="AD105" s="375"/>
    </row>
    <row r="106" spans="1:30">
      <c r="A106" s="375"/>
      <c r="B106" s="375"/>
      <c r="C106" s="375"/>
      <c r="D106" s="375"/>
      <c r="E106" s="375"/>
      <c r="F106" s="375"/>
      <c r="G106" s="375"/>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c r="AD106" s="375"/>
    </row>
    <row r="107" spans="1:30">
      <c r="A107" s="375"/>
      <c r="B107" s="375"/>
      <c r="C107" s="375"/>
      <c r="D107" s="375"/>
      <c r="E107" s="375"/>
      <c r="F107" s="375"/>
      <c r="G107" s="375"/>
      <c r="H107" s="375"/>
      <c r="I107" s="375"/>
      <c r="J107" s="375"/>
      <c r="K107" s="375"/>
      <c r="L107" s="375"/>
      <c r="M107" s="375"/>
      <c r="N107" s="375"/>
      <c r="O107" s="375"/>
      <c r="P107" s="375"/>
      <c r="Q107" s="375"/>
      <c r="R107" s="375"/>
      <c r="S107" s="375"/>
      <c r="T107" s="375"/>
      <c r="U107" s="375"/>
      <c r="V107" s="375"/>
      <c r="W107" s="375"/>
      <c r="X107" s="375"/>
      <c r="Y107" s="375"/>
      <c r="Z107" s="375"/>
      <c r="AA107" s="375"/>
      <c r="AB107" s="375"/>
      <c r="AC107" s="375"/>
      <c r="AD107" s="375"/>
    </row>
    <row r="108" spans="1:30">
      <c r="A108" s="375"/>
      <c r="B108" s="375"/>
      <c r="C108" s="375"/>
      <c r="D108" s="375"/>
      <c r="E108" s="375"/>
      <c r="F108" s="375"/>
      <c r="G108" s="375"/>
      <c r="H108" s="375"/>
      <c r="I108" s="375"/>
      <c r="J108" s="375"/>
      <c r="K108" s="375"/>
      <c r="L108" s="375"/>
      <c r="M108" s="375"/>
      <c r="N108" s="375"/>
      <c r="O108" s="375"/>
      <c r="P108" s="375"/>
      <c r="Q108" s="375"/>
      <c r="R108" s="375"/>
      <c r="S108" s="375"/>
      <c r="T108" s="375"/>
      <c r="U108" s="375"/>
      <c r="V108" s="375"/>
      <c r="W108" s="375"/>
      <c r="X108" s="375"/>
      <c r="Y108" s="375"/>
      <c r="Z108" s="375"/>
      <c r="AA108" s="375"/>
      <c r="AB108" s="375"/>
      <c r="AC108" s="375"/>
      <c r="AD108" s="375"/>
    </row>
    <row r="109" spans="1:30">
      <c r="A109" s="375"/>
      <c r="B109" s="375"/>
      <c r="C109" s="375"/>
      <c r="D109" s="375"/>
      <c r="E109" s="375"/>
      <c r="F109" s="375"/>
      <c r="G109" s="375"/>
      <c r="H109" s="375"/>
      <c r="I109" s="375"/>
      <c r="J109" s="375"/>
      <c r="K109" s="375"/>
      <c r="L109" s="375"/>
      <c r="M109" s="375"/>
      <c r="N109" s="375"/>
      <c r="O109" s="375"/>
      <c r="P109" s="375"/>
      <c r="Q109" s="375"/>
      <c r="R109" s="375"/>
      <c r="S109" s="375"/>
      <c r="T109" s="375"/>
      <c r="U109" s="375"/>
      <c r="V109" s="375"/>
      <c r="W109" s="375"/>
      <c r="X109" s="375"/>
      <c r="Y109" s="375"/>
      <c r="Z109" s="375"/>
      <c r="AA109" s="375"/>
      <c r="AB109" s="375"/>
      <c r="AC109" s="375"/>
      <c r="AD109" s="375"/>
    </row>
    <row r="110" spans="1:30">
      <c r="A110" s="375"/>
      <c r="B110" s="375"/>
      <c r="C110" s="375"/>
      <c r="D110" s="375"/>
      <c r="E110" s="375"/>
      <c r="F110" s="375"/>
      <c r="G110" s="375"/>
      <c r="H110" s="375"/>
      <c r="I110" s="375"/>
      <c r="J110" s="375"/>
      <c r="K110" s="375"/>
      <c r="L110" s="375"/>
      <c r="M110" s="375"/>
      <c r="N110" s="375"/>
      <c r="O110" s="375"/>
      <c r="P110" s="375"/>
      <c r="Q110" s="375"/>
      <c r="R110" s="375"/>
      <c r="S110" s="375"/>
      <c r="T110" s="375"/>
      <c r="U110" s="375"/>
      <c r="V110" s="375"/>
      <c r="W110" s="375"/>
      <c r="X110" s="375"/>
      <c r="Y110" s="375"/>
      <c r="Z110" s="375"/>
      <c r="AA110" s="375"/>
      <c r="AB110" s="375"/>
      <c r="AC110" s="375"/>
      <c r="AD110" s="375"/>
    </row>
    <row r="111" spans="1:30">
      <c r="A111" s="375"/>
      <c r="B111" s="375"/>
      <c r="C111" s="375"/>
      <c r="D111" s="375"/>
      <c r="E111" s="375"/>
      <c r="F111" s="375"/>
      <c r="G111" s="375"/>
      <c r="H111" s="375"/>
      <c r="I111" s="375"/>
      <c r="J111" s="375"/>
      <c r="K111" s="375"/>
      <c r="L111" s="375"/>
      <c r="M111" s="375"/>
      <c r="N111" s="375"/>
      <c r="O111" s="375"/>
      <c r="P111" s="375"/>
      <c r="Q111" s="375"/>
      <c r="R111" s="375"/>
      <c r="S111" s="375"/>
      <c r="T111" s="375"/>
      <c r="U111" s="375"/>
      <c r="V111" s="375"/>
      <c r="W111" s="375"/>
      <c r="X111" s="375"/>
      <c r="Y111" s="375"/>
      <c r="Z111" s="375"/>
      <c r="AA111" s="375"/>
      <c r="AB111" s="375"/>
      <c r="AC111" s="375"/>
      <c r="AD111" s="375"/>
    </row>
    <row r="112" spans="1:30">
      <c r="A112" s="375"/>
      <c r="B112" s="375"/>
      <c r="C112" s="375"/>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row>
    <row r="113" spans="1:30">
      <c r="A113" s="375"/>
      <c r="B113" s="375"/>
      <c r="C113" s="375"/>
      <c r="D113" s="375"/>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row>
    <row r="114" spans="1:30">
      <c r="A114" s="375"/>
      <c r="B114" s="375"/>
      <c r="C114" s="375"/>
      <c r="D114" s="375"/>
      <c r="E114" s="375"/>
      <c r="F114" s="375"/>
      <c r="G114" s="375"/>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row>
    <row r="115" spans="1:30">
      <c r="A115" s="375"/>
      <c r="B115" s="375"/>
      <c r="C115" s="375"/>
      <c r="D115" s="375"/>
      <c r="E115" s="375"/>
      <c r="F115" s="375"/>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c r="AD115" s="375"/>
    </row>
    <row r="116" spans="1:30">
      <c r="A116" s="375"/>
      <c r="B116" s="375"/>
      <c r="C116" s="375"/>
      <c r="D116" s="375"/>
      <c r="E116" s="375"/>
      <c r="F116" s="375"/>
      <c r="G116" s="375"/>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row>
    <row r="117" spans="1:30">
      <c r="A117" s="375"/>
      <c r="B117" s="375"/>
      <c r="C117" s="375"/>
      <c r="D117" s="375"/>
      <c r="E117" s="375"/>
      <c r="F117" s="375"/>
      <c r="G117" s="375"/>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5"/>
      <c r="AD117" s="375"/>
    </row>
    <row r="118" spans="1:30">
      <c r="A118" s="375"/>
      <c r="B118" s="375"/>
      <c r="C118" s="375"/>
      <c r="D118" s="375"/>
      <c r="E118" s="375"/>
      <c r="F118" s="375"/>
      <c r="G118" s="375"/>
      <c r="H118" s="375"/>
      <c r="I118" s="375"/>
      <c r="J118" s="375"/>
      <c r="K118" s="375"/>
      <c r="L118" s="375"/>
      <c r="M118" s="375"/>
      <c r="N118" s="375"/>
      <c r="O118" s="375"/>
      <c r="P118" s="375"/>
      <c r="Q118" s="375"/>
      <c r="R118" s="375"/>
      <c r="S118" s="375"/>
      <c r="T118" s="375"/>
      <c r="U118" s="375"/>
      <c r="V118" s="375"/>
      <c r="W118" s="375"/>
      <c r="X118" s="375"/>
      <c r="Y118" s="375"/>
      <c r="Z118" s="375"/>
      <c r="AA118" s="375"/>
      <c r="AB118" s="375"/>
      <c r="AC118" s="375"/>
      <c r="AD118" s="375"/>
    </row>
    <row r="119" spans="1:30">
      <c r="A119" s="375"/>
      <c r="B119" s="375"/>
      <c r="C119" s="375"/>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row>
    <row r="120" spans="1:30">
      <c r="A120" s="375"/>
      <c r="B120" s="375"/>
      <c r="C120" s="375"/>
      <c r="D120" s="375"/>
      <c r="E120" s="375"/>
      <c r="F120" s="375"/>
      <c r="G120" s="375"/>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row>
    <row r="121" spans="1:30">
      <c r="A121" s="375"/>
      <c r="B121" s="375"/>
      <c r="C121" s="375"/>
      <c r="D121" s="375"/>
      <c r="E121" s="375"/>
      <c r="F121" s="375"/>
      <c r="G121" s="375"/>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375"/>
    </row>
    <row r="122" spans="1:30">
      <c r="A122" s="375"/>
      <c r="B122" s="375"/>
      <c r="C122" s="375"/>
      <c r="D122" s="375"/>
      <c r="E122" s="375"/>
      <c r="F122" s="375"/>
      <c r="G122" s="375"/>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row>
    <row r="123" spans="1:30">
      <c r="A123" s="375"/>
      <c r="B123" s="375"/>
      <c r="C123" s="375"/>
      <c r="D123" s="375"/>
      <c r="E123" s="375"/>
      <c r="F123" s="375"/>
      <c r="G123" s="375"/>
      <c r="H123" s="375"/>
      <c r="I123" s="375"/>
      <c r="J123" s="375"/>
      <c r="K123" s="375"/>
      <c r="L123" s="375"/>
      <c r="M123" s="375"/>
      <c r="N123" s="375"/>
      <c r="O123" s="375"/>
      <c r="P123" s="375"/>
      <c r="Q123" s="375"/>
      <c r="R123" s="375"/>
      <c r="S123" s="375"/>
      <c r="T123" s="375"/>
      <c r="U123" s="375"/>
      <c r="V123" s="375"/>
      <c r="W123" s="375"/>
      <c r="X123" s="375"/>
      <c r="Y123" s="375"/>
      <c r="Z123" s="375"/>
      <c r="AA123" s="375"/>
      <c r="AB123" s="375"/>
      <c r="AC123" s="375"/>
      <c r="AD123" s="375"/>
    </row>
    <row r="124" spans="1:30">
      <c r="A124" s="375"/>
      <c r="B124" s="375"/>
      <c r="C124" s="375"/>
      <c r="D124" s="375"/>
      <c r="E124" s="375"/>
      <c r="F124" s="375"/>
      <c r="G124" s="375"/>
      <c r="H124" s="375"/>
      <c r="I124" s="375"/>
      <c r="J124" s="375"/>
      <c r="K124" s="375"/>
      <c r="L124" s="375"/>
      <c r="M124" s="375"/>
      <c r="N124" s="375"/>
      <c r="O124" s="375"/>
      <c r="P124" s="375"/>
      <c r="Q124" s="375"/>
      <c r="R124" s="375"/>
      <c r="S124" s="375"/>
      <c r="T124" s="375"/>
      <c r="U124" s="375"/>
      <c r="V124" s="375"/>
      <c r="W124" s="375"/>
      <c r="X124" s="375"/>
      <c r="Y124" s="375"/>
      <c r="Z124" s="375"/>
      <c r="AA124" s="375"/>
      <c r="AB124" s="375"/>
      <c r="AC124" s="375"/>
      <c r="AD124" s="375"/>
    </row>
    <row r="125" spans="1:30">
      <c r="A125" s="375"/>
      <c r="B125" s="375"/>
      <c r="C125" s="375"/>
      <c r="D125" s="375"/>
      <c r="E125" s="375"/>
      <c r="F125" s="375"/>
      <c r="G125" s="375"/>
      <c r="H125" s="375"/>
      <c r="I125" s="375"/>
      <c r="J125" s="375"/>
      <c r="K125" s="375"/>
      <c r="L125" s="375"/>
      <c r="M125" s="375"/>
      <c r="N125" s="375"/>
      <c r="O125" s="375"/>
      <c r="P125" s="375"/>
      <c r="Q125" s="375"/>
      <c r="R125" s="375"/>
      <c r="S125" s="375"/>
      <c r="T125" s="375"/>
      <c r="U125" s="375"/>
      <c r="V125" s="375"/>
      <c r="W125" s="375"/>
      <c r="X125" s="375"/>
      <c r="Y125" s="375"/>
      <c r="Z125" s="375"/>
      <c r="AA125" s="375"/>
      <c r="AB125" s="375"/>
      <c r="AC125" s="375"/>
      <c r="AD125" s="375"/>
    </row>
    <row r="126" spans="1:30">
      <c r="A126" s="375"/>
      <c r="B126" s="375"/>
      <c r="C126" s="375"/>
      <c r="D126" s="375"/>
      <c r="E126" s="375"/>
      <c r="F126" s="375"/>
      <c r="G126" s="375"/>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row>
    <row r="127" spans="1:30">
      <c r="A127" s="375"/>
      <c r="B127" s="375"/>
      <c r="C127" s="375"/>
      <c r="D127" s="375"/>
      <c r="E127" s="375"/>
      <c r="F127" s="375"/>
      <c r="G127" s="375"/>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row>
    <row r="128" spans="1:30">
      <c r="A128" s="375"/>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row>
    <row r="129" spans="1:30">
      <c r="A129" s="375"/>
      <c r="B129" s="375"/>
      <c r="C129" s="375"/>
      <c r="D129" s="375"/>
      <c r="E129" s="375"/>
      <c r="F129" s="375"/>
      <c r="G129" s="375"/>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row>
    <row r="130" spans="1:30">
      <c r="A130" s="375"/>
      <c r="B130" s="375"/>
      <c r="C130" s="375"/>
      <c r="D130" s="375"/>
      <c r="E130" s="375"/>
      <c r="F130" s="375"/>
      <c r="G130" s="375"/>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row>
    <row r="131" spans="1:30">
      <c r="A131" s="375"/>
      <c r="B131" s="375"/>
      <c r="C131" s="375"/>
      <c r="D131" s="375"/>
      <c r="E131" s="375"/>
      <c r="F131" s="375"/>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row>
    <row r="132" spans="1:30">
      <c r="A132" s="375"/>
      <c r="B132" s="375"/>
      <c r="C132" s="375"/>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row>
    <row r="133" spans="1:30">
      <c r="A133" s="375"/>
      <c r="B133" s="375"/>
      <c r="C133" s="375"/>
      <c r="D133" s="375"/>
      <c r="E133" s="375"/>
      <c r="F133" s="375"/>
      <c r="G133" s="375"/>
      <c r="H133" s="375"/>
      <c r="I133" s="375"/>
      <c r="J133" s="375"/>
      <c r="K133" s="375"/>
      <c r="L133" s="375"/>
      <c r="M133" s="375"/>
      <c r="N133" s="375"/>
      <c r="O133" s="375"/>
      <c r="Q133" s="375"/>
      <c r="R133" s="375"/>
      <c r="S133" s="375"/>
      <c r="T133" s="375"/>
      <c r="U133" s="375"/>
      <c r="V133" s="375"/>
      <c r="W133" s="375"/>
      <c r="X133" s="375"/>
      <c r="Y133" s="375"/>
      <c r="Z133" s="375"/>
      <c r="AA133" s="375"/>
      <c r="AB133" s="375"/>
      <c r="AC133" s="375"/>
      <c r="AD133" s="375"/>
    </row>
    <row r="134" spans="1:30">
      <c r="A134" s="375"/>
      <c r="B134" s="375"/>
      <c r="C134" s="375"/>
      <c r="D134" s="375"/>
      <c r="E134" s="375"/>
      <c r="F134" s="375"/>
      <c r="G134" s="375"/>
      <c r="H134" s="375"/>
      <c r="I134" s="375"/>
      <c r="J134" s="375"/>
      <c r="K134" s="375"/>
      <c r="L134" s="375"/>
      <c r="M134" s="375"/>
      <c r="N134" s="375"/>
      <c r="O134" s="375"/>
      <c r="Q134" s="375"/>
      <c r="R134" s="375"/>
      <c r="S134" s="375"/>
      <c r="T134" s="375"/>
      <c r="U134" s="375"/>
      <c r="V134" s="375"/>
      <c r="W134" s="375"/>
      <c r="X134" s="375"/>
      <c r="Y134" s="375"/>
      <c r="Z134" s="375"/>
      <c r="AA134" s="375"/>
      <c r="AB134" s="375"/>
      <c r="AC134" s="375"/>
      <c r="AD134" s="375"/>
    </row>
    <row r="135" spans="1:30">
      <c r="A135" s="375"/>
      <c r="B135" s="375"/>
      <c r="C135" s="375"/>
      <c r="D135" s="375"/>
      <c r="E135" s="375"/>
      <c r="F135" s="375"/>
      <c r="G135" s="375"/>
      <c r="H135" s="375"/>
      <c r="I135" s="375"/>
      <c r="J135" s="375"/>
      <c r="K135" s="375"/>
      <c r="L135" s="375"/>
      <c r="M135" s="375"/>
      <c r="N135" s="375"/>
      <c r="O135" s="375"/>
      <c r="Q135" s="375"/>
      <c r="R135" s="375"/>
      <c r="S135" s="375"/>
      <c r="T135" s="375"/>
      <c r="U135" s="375"/>
      <c r="V135" s="375"/>
      <c r="W135" s="375"/>
      <c r="X135" s="375"/>
      <c r="Y135" s="375"/>
      <c r="Z135" s="375"/>
      <c r="AA135" s="375"/>
      <c r="AB135" s="375"/>
      <c r="AC135" s="375"/>
      <c r="AD135" s="375"/>
    </row>
    <row r="136" spans="1:30">
      <c r="A136" s="375"/>
      <c r="B136" s="375"/>
      <c r="C136" s="375"/>
      <c r="D136" s="375"/>
      <c r="E136" s="375"/>
      <c r="F136" s="375"/>
      <c r="G136" s="375"/>
      <c r="H136" s="375"/>
      <c r="I136" s="375"/>
      <c r="J136" s="375"/>
      <c r="K136" s="375"/>
      <c r="L136" s="375"/>
      <c r="M136" s="375"/>
      <c r="N136" s="375"/>
      <c r="O136" s="375"/>
      <c r="Q136" s="375"/>
      <c r="R136" s="375"/>
      <c r="S136" s="375"/>
      <c r="T136" s="375"/>
      <c r="U136" s="375"/>
      <c r="V136" s="375"/>
      <c r="W136" s="375"/>
      <c r="X136" s="375"/>
      <c r="Y136" s="375"/>
      <c r="Z136" s="375"/>
      <c r="AA136" s="375"/>
      <c r="AB136" s="375"/>
      <c r="AC136" s="375"/>
      <c r="AD136" s="375"/>
    </row>
    <row r="137" spans="1:30">
      <c r="A137" s="375"/>
      <c r="B137" s="375"/>
      <c r="C137" s="375"/>
      <c r="D137" s="375"/>
      <c r="E137" s="375"/>
      <c r="F137" s="375"/>
      <c r="G137" s="375"/>
      <c r="H137" s="375"/>
      <c r="I137" s="375"/>
      <c r="J137" s="375"/>
      <c r="K137" s="375"/>
      <c r="L137" s="375"/>
      <c r="M137" s="375"/>
      <c r="N137" s="375"/>
      <c r="O137" s="375"/>
      <c r="Q137" s="375"/>
      <c r="R137" s="375"/>
      <c r="S137" s="375"/>
      <c r="T137" s="375"/>
      <c r="U137" s="375"/>
      <c r="V137" s="375"/>
      <c r="W137" s="375"/>
      <c r="X137" s="375"/>
      <c r="Y137" s="375"/>
      <c r="Z137" s="375"/>
      <c r="AA137" s="375"/>
      <c r="AB137" s="375"/>
      <c r="AC137" s="375"/>
      <c r="AD137" s="375"/>
    </row>
    <row r="138" spans="1:30">
      <c r="A138" s="375"/>
      <c r="B138" s="375"/>
      <c r="C138" s="375"/>
      <c r="D138" s="375"/>
      <c r="E138" s="375"/>
      <c r="F138" s="375"/>
      <c r="G138" s="375"/>
      <c r="H138" s="375"/>
      <c r="I138" s="375"/>
      <c r="J138" s="375"/>
      <c r="K138" s="375"/>
      <c r="L138" s="375"/>
      <c r="M138" s="375"/>
      <c r="N138" s="375"/>
      <c r="O138" s="375"/>
      <c r="Q138" s="375"/>
      <c r="R138" s="375"/>
      <c r="S138" s="375"/>
      <c r="T138" s="375"/>
      <c r="U138" s="375"/>
      <c r="V138" s="375"/>
      <c r="W138" s="375"/>
      <c r="X138" s="375"/>
      <c r="Y138" s="375"/>
      <c r="Z138" s="375"/>
      <c r="AA138" s="375"/>
      <c r="AB138" s="375"/>
      <c r="AC138" s="375"/>
      <c r="AD138" s="375"/>
    </row>
    <row r="139" spans="1:30">
      <c r="A139" s="375"/>
      <c r="B139" s="375"/>
      <c r="C139" s="375"/>
      <c r="D139" s="375"/>
      <c r="E139" s="375"/>
      <c r="F139" s="375"/>
      <c r="G139" s="375"/>
      <c r="H139" s="375"/>
      <c r="I139" s="375"/>
      <c r="J139" s="375"/>
      <c r="K139" s="375"/>
      <c r="L139" s="375"/>
      <c r="M139" s="375"/>
      <c r="N139" s="375"/>
      <c r="O139" s="375"/>
      <c r="Q139" s="375"/>
      <c r="R139" s="375"/>
      <c r="S139" s="375"/>
      <c r="T139" s="375"/>
      <c r="U139" s="375"/>
      <c r="V139" s="375"/>
      <c r="W139" s="375"/>
      <c r="X139" s="375"/>
      <c r="Y139" s="375"/>
      <c r="Z139" s="375"/>
      <c r="AA139" s="375"/>
      <c r="AB139" s="375"/>
      <c r="AC139" s="375"/>
      <c r="AD139" s="375"/>
    </row>
    <row r="140" spans="1:30">
      <c r="A140" s="375"/>
      <c r="B140" s="375"/>
      <c r="C140" s="375"/>
      <c r="D140" s="375"/>
      <c r="E140" s="375"/>
      <c r="F140" s="375"/>
      <c r="G140" s="375"/>
      <c r="H140" s="375"/>
      <c r="I140" s="375"/>
      <c r="J140" s="375"/>
      <c r="K140" s="375"/>
      <c r="L140" s="375"/>
      <c r="M140" s="375"/>
      <c r="N140" s="375"/>
      <c r="O140" s="375"/>
      <c r="Q140" s="375"/>
      <c r="R140" s="375"/>
      <c r="S140" s="375"/>
      <c r="T140" s="375"/>
      <c r="U140" s="375"/>
      <c r="V140" s="375"/>
      <c r="W140" s="375"/>
      <c r="X140" s="375"/>
      <c r="Y140" s="375"/>
      <c r="Z140" s="375"/>
      <c r="AA140" s="375"/>
      <c r="AB140" s="375"/>
      <c r="AC140" s="375"/>
      <c r="AD140" s="375"/>
    </row>
    <row r="141" spans="1:30">
      <c r="A141" s="375"/>
      <c r="B141" s="375"/>
      <c r="C141" s="375"/>
      <c r="D141" s="375"/>
      <c r="E141" s="375"/>
      <c r="F141" s="375"/>
      <c r="G141" s="375"/>
      <c r="H141" s="375"/>
      <c r="I141" s="375"/>
      <c r="J141" s="375"/>
      <c r="K141" s="375"/>
      <c r="L141" s="375"/>
      <c r="M141" s="375"/>
      <c r="N141" s="375"/>
      <c r="O141" s="375"/>
      <c r="Q141" s="375"/>
      <c r="R141" s="375"/>
      <c r="S141" s="375"/>
      <c r="T141" s="375"/>
      <c r="U141" s="375"/>
      <c r="V141" s="375"/>
      <c r="W141" s="375"/>
      <c r="X141" s="375"/>
      <c r="Y141" s="375"/>
      <c r="Z141" s="375"/>
      <c r="AA141" s="375"/>
      <c r="AB141" s="375"/>
      <c r="AC141" s="375"/>
      <c r="AD141" s="375"/>
    </row>
    <row r="142" spans="1:30">
      <c r="A142" s="375"/>
      <c r="B142" s="375"/>
      <c r="C142" s="375"/>
      <c r="D142" s="375"/>
      <c r="E142" s="375"/>
      <c r="F142" s="375"/>
      <c r="G142" s="375"/>
      <c r="H142" s="375"/>
      <c r="I142" s="375"/>
      <c r="J142" s="375"/>
      <c r="K142" s="375"/>
      <c r="L142" s="375"/>
      <c r="M142" s="375"/>
      <c r="N142" s="375"/>
      <c r="O142" s="375"/>
      <c r="Q142" s="375"/>
      <c r="R142" s="375"/>
      <c r="S142" s="375"/>
      <c r="T142" s="375"/>
      <c r="U142" s="375"/>
      <c r="V142" s="375"/>
      <c r="W142" s="375"/>
      <c r="X142" s="375"/>
      <c r="Y142" s="375"/>
      <c r="Z142" s="375"/>
      <c r="AA142" s="375"/>
      <c r="AB142" s="375"/>
      <c r="AC142" s="375"/>
      <c r="AD142" s="375"/>
    </row>
    <row r="143" spans="1:30">
      <c r="A143" s="375"/>
      <c r="B143" s="375"/>
      <c r="C143" s="375"/>
      <c r="D143" s="375"/>
      <c r="E143" s="375"/>
      <c r="F143" s="375"/>
      <c r="G143" s="375"/>
      <c r="H143" s="375"/>
      <c r="I143" s="375"/>
      <c r="J143" s="375"/>
      <c r="K143" s="375"/>
      <c r="L143" s="375"/>
      <c r="M143" s="375"/>
      <c r="N143" s="375"/>
      <c r="O143" s="375"/>
      <c r="Q143" s="375"/>
      <c r="R143" s="375"/>
      <c r="S143" s="375"/>
      <c r="T143" s="375"/>
      <c r="U143" s="375"/>
      <c r="V143" s="375"/>
      <c r="W143" s="375"/>
      <c r="X143" s="375"/>
      <c r="Y143" s="375"/>
      <c r="Z143" s="375"/>
      <c r="AA143" s="375"/>
      <c r="AB143" s="375"/>
      <c r="AC143" s="375"/>
      <c r="AD143" s="375"/>
    </row>
    <row r="144" spans="1:30">
      <c r="A144" s="375"/>
      <c r="B144" s="375"/>
      <c r="C144" s="375"/>
      <c r="D144" s="375"/>
      <c r="E144" s="375"/>
      <c r="F144" s="375"/>
      <c r="G144" s="375"/>
      <c r="H144" s="375"/>
      <c r="I144" s="375"/>
      <c r="J144" s="375"/>
      <c r="K144" s="375"/>
      <c r="L144" s="375"/>
      <c r="M144" s="375"/>
      <c r="N144" s="375"/>
      <c r="O144" s="375"/>
      <c r="Q144" s="375"/>
      <c r="R144" s="375"/>
      <c r="S144" s="375"/>
      <c r="T144" s="375"/>
      <c r="U144" s="375"/>
      <c r="V144" s="375"/>
      <c r="W144" s="375"/>
      <c r="X144" s="375"/>
      <c r="Y144" s="375"/>
      <c r="Z144" s="375"/>
      <c r="AA144" s="375"/>
      <c r="AB144" s="375"/>
      <c r="AC144" s="375"/>
      <c r="AD144" s="375"/>
    </row>
    <row r="145" spans="1:30">
      <c r="A145" s="375"/>
      <c r="B145" s="375"/>
      <c r="C145" s="375"/>
      <c r="D145" s="375"/>
      <c r="E145" s="375"/>
      <c r="F145" s="375"/>
      <c r="G145" s="375"/>
      <c r="H145" s="375"/>
      <c r="I145" s="375"/>
      <c r="J145" s="375"/>
      <c r="K145" s="375"/>
      <c r="L145" s="375"/>
      <c r="M145" s="375"/>
      <c r="N145" s="375"/>
      <c r="O145" s="375"/>
      <c r="Q145" s="375"/>
      <c r="R145" s="375"/>
      <c r="S145" s="375"/>
      <c r="T145" s="375"/>
      <c r="U145" s="375"/>
      <c r="V145" s="375"/>
      <c r="W145" s="375"/>
      <c r="X145" s="375"/>
      <c r="Y145" s="375"/>
      <c r="Z145" s="375"/>
      <c r="AA145" s="375"/>
      <c r="AB145" s="375"/>
      <c r="AC145" s="375"/>
      <c r="AD145" s="375"/>
    </row>
    <row r="146" spans="1:30">
      <c r="A146" s="375"/>
      <c r="B146" s="375"/>
      <c r="C146" s="375"/>
      <c r="D146" s="375"/>
      <c r="E146" s="375"/>
      <c r="F146" s="375"/>
      <c r="G146" s="375"/>
      <c r="H146" s="375"/>
      <c r="I146" s="375"/>
      <c r="J146" s="375"/>
      <c r="K146" s="375"/>
      <c r="L146" s="375"/>
      <c r="M146" s="375"/>
      <c r="N146" s="375"/>
      <c r="O146" s="375"/>
      <c r="Q146" s="375"/>
      <c r="R146" s="375"/>
      <c r="S146" s="375"/>
      <c r="T146" s="375"/>
      <c r="U146" s="375"/>
      <c r="V146" s="375"/>
      <c r="W146" s="375"/>
      <c r="X146" s="375"/>
      <c r="Y146" s="375"/>
      <c r="Z146" s="375"/>
      <c r="AA146" s="375"/>
      <c r="AB146" s="375"/>
      <c r="AC146" s="375"/>
      <c r="AD146" s="375"/>
    </row>
    <row r="147" spans="1:30">
      <c r="A147" s="375"/>
      <c r="B147" s="375"/>
      <c r="C147" s="375"/>
      <c r="D147" s="375"/>
      <c r="E147" s="375"/>
      <c r="F147" s="375"/>
      <c r="G147" s="375"/>
      <c r="H147" s="375"/>
      <c r="I147" s="375"/>
      <c r="J147" s="375"/>
      <c r="K147" s="375"/>
      <c r="L147" s="375"/>
      <c r="M147" s="375"/>
      <c r="N147" s="375"/>
      <c r="O147" s="375"/>
      <c r="Q147" s="375"/>
      <c r="R147" s="375"/>
      <c r="S147" s="375"/>
      <c r="T147" s="375"/>
      <c r="U147" s="375"/>
      <c r="V147" s="375"/>
      <c r="W147" s="375"/>
      <c r="X147" s="375"/>
      <c r="Y147" s="375"/>
      <c r="Z147" s="375"/>
      <c r="AA147" s="375"/>
      <c r="AB147" s="375"/>
      <c r="AC147" s="375"/>
      <c r="AD147" s="375"/>
    </row>
  </sheetData>
  <mergeCells count="75">
    <mergeCell ref="A35:H35"/>
    <mergeCell ref="A40:H40"/>
    <mergeCell ref="A41:H41"/>
    <mergeCell ref="A39:H39"/>
    <mergeCell ref="T69:AD69"/>
    <mergeCell ref="A60:H60"/>
    <mergeCell ref="A44:H44"/>
    <mergeCell ref="A64:H64"/>
    <mergeCell ref="A66:H66"/>
    <mergeCell ref="J60:N60"/>
    <mergeCell ref="J61:N61"/>
    <mergeCell ref="A61:H61"/>
    <mergeCell ref="A38:H38"/>
    <mergeCell ref="A37:H37"/>
    <mergeCell ref="A58:H58"/>
    <mergeCell ref="J59:N59"/>
    <mergeCell ref="W73:AB73"/>
    <mergeCell ref="V71:W71"/>
    <mergeCell ref="A69:H69"/>
    <mergeCell ref="I69:S69"/>
    <mergeCell ref="A67:H67"/>
    <mergeCell ref="I46:AD46"/>
    <mergeCell ref="I49:AD50"/>
    <mergeCell ref="A43:H43"/>
    <mergeCell ref="A46:H46"/>
    <mergeCell ref="A50:H50"/>
    <mergeCell ref="A49:H49"/>
    <mergeCell ref="J58:N58"/>
    <mergeCell ref="X41:AB41"/>
    <mergeCell ref="A42:H42"/>
    <mergeCell ref="A28:H28"/>
    <mergeCell ref="J28:AC28"/>
    <mergeCell ref="J29:AB29"/>
    <mergeCell ref="A31:H31"/>
    <mergeCell ref="X31:AB31"/>
    <mergeCell ref="X32:AB32"/>
    <mergeCell ref="J41:K41"/>
    <mergeCell ref="M41:N41"/>
    <mergeCell ref="R41:S41"/>
    <mergeCell ref="P31:S31"/>
    <mergeCell ref="Q32:R32"/>
    <mergeCell ref="A53:H53"/>
    <mergeCell ref="A55:H55"/>
    <mergeCell ref="A27:H27"/>
    <mergeCell ref="N17:U17"/>
    <mergeCell ref="N16:AB16"/>
    <mergeCell ref="S32:W32"/>
    <mergeCell ref="AI61:AP61"/>
    <mergeCell ref="V60:W60"/>
    <mergeCell ref="V61:W61"/>
    <mergeCell ref="Q42:R42"/>
    <mergeCell ref="J42:K42"/>
    <mergeCell ref="S42:W42"/>
    <mergeCell ref="L55:M55"/>
    <mergeCell ref="M53:P53"/>
    <mergeCell ref="Q53:U53"/>
    <mergeCell ref="A32:H32"/>
    <mergeCell ref="M31:N31"/>
    <mergeCell ref="J32:K32"/>
    <mergeCell ref="V7:W7"/>
    <mergeCell ref="V58:W58"/>
    <mergeCell ref="V59:W59"/>
    <mergeCell ref="J38:AC38"/>
    <mergeCell ref="J39:AB39"/>
    <mergeCell ref="L11:N11"/>
    <mergeCell ref="J37:M37"/>
    <mergeCell ref="O13:R13"/>
    <mergeCell ref="A9:L9"/>
    <mergeCell ref="D21:L21"/>
    <mergeCell ref="D19:O19"/>
    <mergeCell ref="O14:AC14"/>
    <mergeCell ref="A30:H30"/>
    <mergeCell ref="J27:M27"/>
    <mergeCell ref="A29:H29"/>
    <mergeCell ref="J31:K31"/>
  </mergeCells>
  <phoneticPr fontId="7"/>
  <dataValidations count="4">
    <dataValidation type="list" allowBlank="1" showInputMessage="1" showErrorMessage="1" sqref="M53:P53 JI53:JL53 TE53:TH53 ADA53:ADD53 AMW53:AMZ53 AWS53:AWV53 BGO53:BGR53 BQK53:BQN53 CAG53:CAJ53 CKC53:CKF53 CTY53:CUB53 DDU53:DDX53 DNQ53:DNT53 DXM53:DXP53 EHI53:EHL53 ERE53:ERH53 FBA53:FBD53 FKW53:FKZ53 FUS53:FUV53 GEO53:GER53 GOK53:GON53 GYG53:GYJ53 HIC53:HIF53 HRY53:HSB53 IBU53:IBX53 ILQ53:ILT53 IVM53:IVP53 JFI53:JFL53 JPE53:JPH53 JZA53:JZD53 KIW53:KIZ53 KSS53:KSV53 LCO53:LCR53 LMK53:LMN53 LWG53:LWJ53 MGC53:MGF53 MPY53:MQB53 MZU53:MZX53 NJQ53:NJT53 NTM53:NTP53 ODI53:ODL53 ONE53:ONH53 OXA53:OXD53 PGW53:PGZ53 PQS53:PQV53 QAO53:QAR53 QKK53:QKN53 QUG53:QUJ53 REC53:REF53 RNY53:ROB53 RXU53:RXX53 SHQ53:SHT53 SRM53:SRP53 TBI53:TBL53 TLE53:TLH53 TVA53:TVD53 UEW53:UEZ53 UOS53:UOV53 UYO53:UYR53 VIK53:VIN53 VSG53:VSJ53 WCC53:WCF53 WLY53:WMB53 WVU53:WVX53 M65589:P65589 JI65589:JL65589 TE65589:TH65589 ADA65589:ADD65589 AMW65589:AMZ65589 AWS65589:AWV65589 BGO65589:BGR65589 BQK65589:BQN65589 CAG65589:CAJ65589 CKC65589:CKF65589 CTY65589:CUB65589 DDU65589:DDX65589 DNQ65589:DNT65589 DXM65589:DXP65589 EHI65589:EHL65589 ERE65589:ERH65589 FBA65589:FBD65589 FKW65589:FKZ65589 FUS65589:FUV65589 GEO65589:GER65589 GOK65589:GON65589 GYG65589:GYJ65589 HIC65589:HIF65589 HRY65589:HSB65589 IBU65589:IBX65589 ILQ65589:ILT65589 IVM65589:IVP65589 JFI65589:JFL65589 JPE65589:JPH65589 JZA65589:JZD65589 KIW65589:KIZ65589 KSS65589:KSV65589 LCO65589:LCR65589 LMK65589:LMN65589 LWG65589:LWJ65589 MGC65589:MGF65589 MPY65589:MQB65589 MZU65589:MZX65589 NJQ65589:NJT65589 NTM65589:NTP65589 ODI65589:ODL65589 ONE65589:ONH65589 OXA65589:OXD65589 PGW65589:PGZ65589 PQS65589:PQV65589 QAO65589:QAR65589 QKK65589:QKN65589 QUG65589:QUJ65589 REC65589:REF65589 RNY65589:ROB65589 RXU65589:RXX65589 SHQ65589:SHT65589 SRM65589:SRP65589 TBI65589:TBL65589 TLE65589:TLH65589 TVA65589:TVD65589 UEW65589:UEZ65589 UOS65589:UOV65589 UYO65589:UYR65589 VIK65589:VIN65589 VSG65589:VSJ65589 WCC65589:WCF65589 WLY65589:WMB65589 WVU65589:WVX65589 M131125:P131125 JI131125:JL131125 TE131125:TH131125 ADA131125:ADD131125 AMW131125:AMZ131125 AWS131125:AWV131125 BGO131125:BGR131125 BQK131125:BQN131125 CAG131125:CAJ131125 CKC131125:CKF131125 CTY131125:CUB131125 DDU131125:DDX131125 DNQ131125:DNT131125 DXM131125:DXP131125 EHI131125:EHL131125 ERE131125:ERH131125 FBA131125:FBD131125 FKW131125:FKZ131125 FUS131125:FUV131125 GEO131125:GER131125 GOK131125:GON131125 GYG131125:GYJ131125 HIC131125:HIF131125 HRY131125:HSB131125 IBU131125:IBX131125 ILQ131125:ILT131125 IVM131125:IVP131125 JFI131125:JFL131125 JPE131125:JPH131125 JZA131125:JZD131125 KIW131125:KIZ131125 KSS131125:KSV131125 LCO131125:LCR131125 LMK131125:LMN131125 LWG131125:LWJ131125 MGC131125:MGF131125 MPY131125:MQB131125 MZU131125:MZX131125 NJQ131125:NJT131125 NTM131125:NTP131125 ODI131125:ODL131125 ONE131125:ONH131125 OXA131125:OXD131125 PGW131125:PGZ131125 PQS131125:PQV131125 QAO131125:QAR131125 QKK131125:QKN131125 QUG131125:QUJ131125 REC131125:REF131125 RNY131125:ROB131125 RXU131125:RXX131125 SHQ131125:SHT131125 SRM131125:SRP131125 TBI131125:TBL131125 TLE131125:TLH131125 TVA131125:TVD131125 UEW131125:UEZ131125 UOS131125:UOV131125 UYO131125:UYR131125 VIK131125:VIN131125 VSG131125:VSJ131125 WCC131125:WCF131125 WLY131125:WMB131125 WVU131125:WVX131125 M196661:P196661 JI196661:JL196661 TE196661:TH196661 ADA196661:ADD196661 AMW196661:AMZ196661 AWS196661:AWV196661 BGO196661:BGR196661 BQK196661:BQN196661 CAG196661:CAJ196661 CKC196661:CKF196661 CTY196661:CUB196661 DDU196661:DDX196661 DNQ196661:DNT196661 DXM196661:DXP196661 EHI196661:EHL196661 ERE196661:ERH196661 FBA196661:FBD196661 FKW196661:FKZ196661 FUS196661:FUV196661 GEO196661:GER196661 GOK196661:GON196661 GYG196661:GYJ196661 HIC196661:HIF196661 HRY196661:HSB196661 IBU196661:IBX196661 ILQ196661:ILT196661 IVM196661:IVP196661 JFI196661:JFL196661 JPE196661:JPH196661 JZA196661:JZD196661 KIW196661:KIZ196661 KSS196661:KSV196661 LCO196661:LCR196661 LMK196661:LMN196661 LWG196661:LWJ196661 MGC196661:MGF196661 MPY196661:MQB196661 MZU196661:MZX196661 NJQ196661:NJT196661 NTM196661:NTP196661 ODI196661:ODL196661 ONE196661:ONH196661 OXA196661:OXD196661 PGW196661:PGZ196661 PQS196661:PQV196661 QAO196661:QAR196661 QKK196661:QKN196661 QUG196661:QUJ196661 REC196661:REF196661 RNY196661:ROB196661 RXU196661:RXX196661 SHQ196661:SHT196661 SRM196661:SRP196661 TBI196661:TBL196661 TLE196661:TLH196661 TVA196661:TVD196661 UEW196661:UEZ196661 UOS196661:UOV196661 UYO196661:UYR196661 VIK196661:VIN196661 VSG196661:VSJ196661 WCC196661:WCF196661 WLY196661:WMB196661 WVU196661:WVX196661 M262197:P262197 JI262197:JL262197 TE262197:TH262197 ADA262197:ADD262197 AMW262197:AMZ262197 AWS262197:AWV262197 BGO262197:BGR262197 BQK262197:BQN262197 CAG262197:CAJ262197 CKC262197:CKF262197 CTY262197:CUB262197 DDU262197:DDX262197 DNQ262197:DNT262197 DXM262197:DXP262197 EHI262197:EHL262197 ERE262197:ERH262197 FBA262197:FBD262197 FKW262197:FKZ262197 FUS262197:FUV262197 GEO262197:GER262197 GOK262197:GON262197 GYG262197:GYJ262197 HIC262197:HIF262197 HRY262197:HSB262197 IBU262197:IBX262197 ILQ262197:ILT262197 IVM262197:IVP262197 JFI262197:JFL262197 JPE262197:JPH262197 JZA262197:JZD262197 KIW262197:KIZ262197 KSS262197:KSV262197 LCO262197:LCR262197 LMK262197:LMN262197 LWG262197:LWJ262197 MGC262197:MGF262197 MPY262197:MQB262197 MZU262197:MZX262197 NJQ262197:NJT262197 NTM262197:NTP262197 ODI262197:ODL262197 ONE262197:ONH262197 OXA262197:OXD262197 PGW262197:PGZ262197 PQS262197:PQV262197 QAO262197:QAR262197 QKK262197:QKN262197 QUG262197:QUJ262197 REC262197:REF262197 RNY262197:ROB262197 RXU262197:RXX262197 SHQ262197:SHT262197 SRM262197:SRP262197 TBI262197:TBL262197 TLE262197:TLH262197 TVA262197:TVD262197 UEW262197:UEZ262197 UOS262197:UOV262197 UYO262197:UYR262197 VIK262197:VIN262197 VSG262197:VSJ262197 WCC262197:WCF262197 WLY262197:WMB262197 WVU262197:WVX262197 M327733:P327733 JI327733:JL327733 TE327733:TH327733 ADA327733:ADD327733 AMW327733:AMZ327733 AWS327733:AWV327733 BGO327733:BGR327733 BQK327733:BQN327733 CAG327733:CAJ327733 CKC327733:CKF327733 CTY327733:CUB327733 DDU327733:DDX327733 DNQ327733:DNT327733 DXM327733:DXP327733 EHI327733:EHL327733 ERE327733:ERH327733 FBA327733:FBD327733 FKW327733:FKZ327733 FUS327733:FUV327733 GEO327733:GER327733 GOK327733:GON327733 GYG327733:GYJ327733 HIC327733:HIF327733 HRY327733:HSB327733 IBU327733:IBX327733 ILQ327733:ILT327733 IVM327733:IVP327733 JFI327733:JFL327733 JPE327733:JPH327733 JZA327733:JZD327733 KIW327733:KIZ327733 KSS327733:KSV327733 LCO327733:LCR327733 LMK327733:LMN327733 LWG327733:LWJ327733 MGC327733:MGF327733 MPY327733:MQB327733 MZU327733:MZX327733 NJQ327733:NJT327733 NTM327733:NTP327733 ODI327733:ODL327733 ONE327733:ONH327733 OXA327733:OXD327733 PGW327733:PGZ327733 PQS327733:PQV327733 QAO327733:QAR327733 QKK327733:QKN327733 QUG327733:QUJ327733 REC327733:REF327733 RNY327733:ROB327733 RXU327733:RXX327733 SHQ327733:SHT327733 SRM327733:SRP327733 TBI327733:TBL327733 TLE327733:TLH327733 TVA327733:TVD327733 UEW327733:UEZ327733 UOS327733:UOV327733 UYO327733:UYR327733 VIK327733:VIN327733 VSG327733:VSJ327733 WCC327733:WCF327733 WLY327733:WMB327733 WVU327733:WVX327733 M393269:P393269 JI393269:JL393269 TE393269:TH393269 ADA393269:ADD393269 AMW393269:AMZ393269 AWS393269:AWV393269 BGO393269:BGR393269 BQK393269:BQN393269 CAG393269:CAJ393269 CKC393269:CKF393269 CTY393269:CUB393269 DDU393269:DDX393269 DNQ393269:DNT393269 DXM393269:DXP393269 EHI393269:EHL393269 ERE393269:ERH393269 FBA393269:FBD393269 FKW393269:FKZ393269 FUS393269:FUV393269 GEO393269:GER393269 GOK393269:GON393269 GYG393269:GYJ393269 HIC393269:HIF393269 HRY393269:HSB393269 IBU393269:IBX393269 ILQ393269:ILT393269 IVM393269:IVP393269 JFI393269:JFL393269 JPE393269:JPH393269 JZA393269:JZD393269 KIW393269:KIZ393269 KSS393269:KSV393269 LCO393269:LCR393269 LMK393269:LMN393269 LWG393269:LWJ393269 MGC393269:MGF393269 MPY393269:MQB393269 MZU393269:MZX393269 NJQ393269:NJT393269 NTM393269:NTP393269 ODI393269:ODL393269 ONE393269:ONH393269 OXA393269:OXD393269 PGW393269:PGZ393269 PQS393269:PQV393269 QAO393269:QAR393269 QKK393269:QKN393269 QUG393269:QUJ393269 REC393269:REF393269 RNY393269:ROB393269 RXU393269:RXX393269 SHQ393269:SHT393269 SRM393269:SRP393269 TBI393269:TBL393269 TLE393269:TLH393269 TVA393269:TVD393269 UEW393269:UEZ393269 UOS393269:UOV393269 UYO393269:UYR393269 VIK393269:VIN393269 VSG393269:VSJ393269 WCC393269:WCF393269 WLY393269:WMB393269 WVU393269:WVX393269 M458805:P458805 JI458805:JL458805 TE458805:TH458805 ADA458805:ADD458805 AMW458805:AMZ458805 AWS458805:AWV458805 BGO458805:BGR458805 BQK458805:BQN458805 CAG458805:CAJ458805 CKC458805:CKF458805 CTY458805:CUB458805 DDU458805:DDX458805 DNQ458805:DNT458805 DXM458805:DXP458805 EHI458805:EHL458805 ERE458805:ERH458805 FBA458805:FBD458805 FKW458805:FKZ458805 FUS458805:FUV458805 GEO458805:GER458805 GOK458805:GON458805 GYG458805:GYJ458805 HIC458805:HIF458805 HRY458805:HSB458805 IBU458805:IBX458805 ILQ458805:ILT458805 IVM458805:IVP458805 JFI458805:JFL458805 JPE458805:JPH458805 JZA458805:JZD458805 KIW458805:KIZ458805 KSS458805:KSV458805 LCO458805:LCR458805 LMK458805:LMN458805 LWG458805:LWJ458805 MGC458805:MGF458805 MPY458805:MQB458805 MZU458805:MZX458805 NJQ458805:NJT458805 NTM458805:NTP458805 ODI458805:ODL458805 ONE458805:ONH458805 OXA458805:OXD458805 PGW458805:PGZ458805 PQS458805:PQV458805 QAO458805:QAR458805 QKK458805:QKN458805 QUG458805:QUJ458805 REC458805:REF458805 RNY458805:ROB458805 RXU458805:RXX458805 SHQ458805:SHT458805 SRM458805:SRP458805 TBI458805:TBL458805 TLE458805:TLH458805 TVA458805:TVD458805 UEW458805:UEZ458805 UOS458805:UOV458805 UYO458805:UYR458805 VIK458805:VIN458805 VSG458805:VSJ458805 WCC458805:WCF458805 WLY458805:WMB458805 WVU458805:WVX458805 M524341:P524341 JI524341:JL524341 TE524341:TH524341 ADA524341:ADD524341 AMW524341:AMZ524341 AWS524341:AWV524341 BGO524341:BGR524341 BQK524341:BQN524341 CAG524341:CAJ524341 CKC524341:CKF524341 CTY524341:CUB524341 DDU524341:DDX524341 DNQ524341:DNT524341 DXM524341:DXP524341 EHI524341:EHL524341 ERE524341:ERH524341 FBA524341:FBD524341 FKW524341:FKZ524341 FUS524341:FUV524341 GEO524341:GER524341 GOK524341:GON524341 GYG524341:GYJ524341 HIC524341:HIF524341 HRY524341:HSB524341 IBU524341:IBX524341 ILQ524341:ILT524341 IVM524341:IVP524341 JFI524341:JFL524341 JPE524341:JPH524341 JZA524341:JZD524341 KIW524341:KIZ524341 KSS524341:KSV524341 LCO524341:LCR524341 LMK524341:LMN524341 LWG524341:LWJ524341 MGC524341:MGF524341 MPY524341:MQB524341 MZU524341:MZX524341 NJQ524341:NJT524341 NTM524341:NTP524341 ODI524341:ODL524341 ONE524341:ONH524341 OXA524341:OXD524341 PGW524341:PGZ524341 PQS524341:PQV524341 QAO524341:QAR524341 QKK524341:QKN524341 QUG524341:QUJ524341 REC524341:REF524341 RNY524341:ROB524341 RXU524341:RXX524341 SHQ524341:SHT524341 SRM524341:SRP524341 TBI524341:TBL524341 TLE524341:TLH524341 TVA524341:TVD524341 UEW524341:UEZ524341 UOS524341:UOV524341 UYO524341:UYR524341 VIK524341:VIN524341 VSG524341:VSJ524341 WCC524341:WCF524341 WLY524341:WMB524341 WVU524341:WVX524341 M589877:P589877 JI589877:JL589877 TE589877:TH589877 ADA589877:ADD589877 AMW589877:AMZ589877 AWS589877:AWV589877 BGO589877:BGR589877 BQK589877:BQN589877 CAG589877:CAJ589877 CKC589877:CKF589877 CTY589877:CUB589877 DDU589877:DDX589877 DNQ589877:DNT589877 DXM589877:DXP589877 EHI589877:EHL589877 ERE589877:ERH589877 FBA589877:FBD589877 FKW589877:FKZ589877 FUS589877:FUV589877 GEO589877:GER589877 GOK589877:GON589877 GYG589877:GYJ589877 HIC589877:HIF589877 HRY589877:HSB589877 IBU589877:IBX589877 ILQ589877:ILT589877 IVM589877:IVP589877 JFI589877:JFL589877 JPE589877:JPH589877 JZA589877:JZD589877 KIW589877:KIZ589877 KSS589877:KSV589877 LCO589877:LCR589877 LMK589877:LMN589877 LWG589877:LWJ589877 MGC589877:MGF589877 MPY589877:MQB589877 MZU589877:MZX589877 NJQ589877:NJT589877 NTM589877:NTP589877 ODI589877:ODL589877 ONE589877:ONH589877 OXA589877:OXD589877 PGW589877:PGZ589877 PQS589877:PQV589877 QAO589877:QAR589877 QKK589877:QKN589877 QUG589877:QUJ589877 REC589877:REF589877 RNY589877:ROB589877 RXU589877:RXX589877 SHQ589877:SHT589877 SRM589877:SRP589877 TBI589877:TBL589877 TLE589877:TLH589877 TVA589877:TVD589877 UEW589877:UEZ589877 UOS589877:UOV589877 UYO589877:UYR589877 VIK589877:VIN589877 VSG589877:VSJ589877 WCC589877:WCF589877 WLY589877:WMB589877 WVU589877:WVX589877 M655413:P655413 JI655413:JL655413 TE655413:TH655413 ADA655413:ADD655413 AMW655413:AMZ655413 AWS655413:AWV655413 BGO655413:BGR655413 BQK655413:BQN655413 CAG655413:CAJ655413 CKC655413:CKF655413 CTY655413:CUB655413 DDU655413:DDX655413 DNQ655413:DNT655413 DXM655413:DXP655413 EHI655413:EHL655413 ERE655413:ERH655413 FBA655413:FBD655413 FKW655413:FKZ655413 FUS655413:FUV655413 GEO655413:GER655413 GOK655413:GON655413 GYG655413:GYJ655413 HIC655413:HIF655413 HRY655413:HSB655413 IBU655413:IBX655413 ILQ655413:ILT655413 IVM655413:IVP655413 JFI655413:JFL655413 JPE655413:JPH655413 JZA655413:JZD655413 KIW655413:KIZ655413 KSS655413:KSV655413 LCO655413:LCR655413 LMK655413:LMN655413 LWG655413:LWJ655413 MGC655413:MGF655413 MPY655413:MQB655413 MZU655413:MZX655413 NJQ655413:NJT655413 NTM655413:NTP655413 ODI655413:ODL655413 ONE655413:ONH655413 OXA655413:OXD655413 PGW655413:PGZ655413 PQS655413:PQV655413 QAO655413:QAR655413 QKK655413:QKN655413 QUG655413:QUJ655413 REC655413:REF655413 RNY655413:ROB655413 RXU655413:RXX655413 SHQ655413:SHT655413 SRM655413:SRP655413 TBI655413:TBL655413 TLE655413:TLH655413 TVA655413:TVD655413 UEW655413:UEZ655413 UOS655413:UOV655413 UYO655413:UYR655413 VIK655413:VIN655413 VSG655413:VSJ655413 WCC655413:WCF655413 WLY655413:WMB655413 WVU655413:WVX655413 M720949:P720949 JI720949:JL720949 TE720949:TH720949 ADA720949:ADD720949 AMW720949:AMZ720949 AWS720949:AWV720949 BGO720949:BGR720949 BQK720949:BQN720949 CAG720949:CAJ720949 CKC720949:CKF720949 CTY720949:CUB720949 DDU720949:DDX720949 DNQ720949:DNT720949 DXM720949:DXP720949 EHI720949:EHL720949 ERE720949:ERH720949 FBA720949:FBD720949 FKW720949:FKZ720949 FUS720949:FUV720949 GEO720949:GER720949 GOK720949:GON720949 GYG720949:GYJ720949 HIC720949:HIF720949 HRY720949:HSB720949 IBU720949:IBX720949 ILQ720949:ILT720949 IVM720949:IVP720949 JFI720949:JFL720949 JPE720949:JPH720949 JZA720949:JZD720949 KIW720949:KIZ720949 KSS720949:KSV720949 LCO720949:LCR720949 LMK720949:LMN720949 LWG720949:LWJ720949 MGC720949:MGF720949 MPY720949:MQB720949 MZU720949:MZX720949 NJQ720949:NJT720949 NTM720949:NTP720949 ODI720949:ODL720949 ONE720949:ONH720949 OXA720949:OXD720949 PGW720949:PGZ720949 PQS720949:PQV720949 QAO720949:QAR720949 QKK720949:QKN720949 QUG720949:QUJ720949 REC720949:REF720949 RNY720949:ROB720949 RXU720949:RXX720949 SHQ720949:SHT720949 SRM720949:SRP720949 TBI720949:TBL720949 TLE720949:TLH720949 TVA720949:TVD720949 UEW720949:UEZ720949 UOS720949:UOV720949 UYO720949:UYR720949 VIK720949:VIN720949 VSG720949:VSJ720949 WCC720949:WCF720949 WLY720949:WMB720949 WVU720949:WVX720949 M786485:P786485 JI786485:JL786485 TE786485:TH786485 ADA786485:ADD786485 AMW786485:AMZ786485 AWS786485:AWV786485 BGO786485:BGR786485 BQK786485:BQN786485 CAG786485:CAJ786485 CKC786485:CKF786485 CTY786485:CUB786485 DDU786485:DDX786485 DNQ786485:DNT786485 DXM786485:DXP786485 EHI786485:EHL786485 ERE786485:ERH786485 FBA786485:FBD786485 FKW786485:FKZ786485 FUS786485:FUV786485 GEO786485:GER786485 GOK786485:GON786485 GYG786485:GYJ786485 HIC786485:HIF786485 HRY786485:HSB786485 IBU786485:IBX786485 ILQ786485:ILT786485 IVM786485:IVP786485 JFI786485:JFL786485 JPE786485:JPH786485 JZA786485:JZD786485 KIW786485:KIZ786485 KSS786485:KSV786485 LCO786485:LCR786485 LMK786485:LMN786485 LWG786485:LWJ786485 MGC786485:MGF786485 MPY786485:MQB786485 MZU786485:MZX786485 NJQ786485:NJT786485 NTM786485:NTP786485 ODI786485:ODL786485 ONE786485:ONH786485 OXA786485:OXD786485 PGW786485:PGZ786485 PQS786485:PQV786485 QAO786485:QAR786485 QKK786485:QKN786485 QUG786485:QUJ786485 REC786485:REF786485 RNY786485:ROB786485 RXU786485:RXX786485 SHQ786485:SHT786485 SRM786485:SRP786485 TBI786485:TBL786485 TLE786485:TLH786485 TVA786485:TVD786485 UEW786485:UEZ786485 UOS786485:UOV786485 UYO786485:UYR786485 VIK786485:VIN786485 VSG786485:VSJ786485 WCC786485:WCF786485 WLY786485:WMB786485 WVU786485:WVX786485 M852021:P852021 JI852021:JL852021 TE852021:TH852021 ADA852021:ADD852021 AMW852021:AMZ852021 AWS852021:AWV852021 BGO852021:BGR852021 BQK852021:BQN852021 CAG852021:CAJ852021 CKC852021:CKF852021 CTY852021:CUB852021 DDU852021:DDX852021 DNQ852021:DNT852021 DXM852021:DXP852021 EHI852021:EHL852021 ERE852021:ERH852021 FBA852021:FBD852021 FKW852021:FKZ852021 FUS852021:FUV852021 GEO852021:GER852021 GOK852021:GON852021 GYG852021:GYJ852021 HIC852021:HIF852021 HRY852021:HSB852021 IBU852021:IBX852021 ILQ852021:ILT852021 IVM852021:IVP852021 JFI852021:JFL852021 JPE852021:JPH852021 JZA852021:JZD852021 KIW852021:KIZ852021 KSS852021:KSV852021 LCO852021:LCR852021 LMK852021:LMN852021 LWG852021:LWJ852021 MGC852021:MGF852021 MPY852021:MQB852021 MZU852021:MZX852021 NJQ852021:NJT852021 NTM852021:NTP852021 ODI852021:ODL852021 ONE852021:ONH852021 OXA852021:OXD852021 PGW852021:PGZ852021 PQS852021:PQV852021 QAO852021:QAR852021 QKK852021:QKN852021 QUG852021:QUJ852021 REC852021:REF852021 RNY852021:ROB852021 RXU852021:RXX852021 SHQ852021:SHT852021 SRM852021:SRP852021 TBI852021:TBL852021 TLE852021:TLH852021 TVA852021:TVD852021 UEW852021:UEZ852021 UOS852021:UOV852021 UYO852021:UYR852021 VIK852021:VIN852021 VSG852021:VSJ852021 WCC852021:WCF852021 WLY852021:WMB852021 WVU852021:WVX852021 M917557:P917557 JI917557:JL917557 TE917557:TH917557 ADA917557:ADD917557 AMW917557:AMZ917557 AWS917557:AWV917557 BGO917557:BGR917557 BQK917557:BQN917557 CAG917557:CAJ917557 CKC917557:CKF917557 CTY917557:CUB917557 DDU917557:DDX917557 DNQ917557:DNT917557 DXM917557:DXP917557 EHI917557:EHL917557 ERE917557:ERH917557 FBA917557:FBD917557 FKW917557:FKZ917557 FUS917557:FUV917557 GEO917557:GER917557 GOK917557:GON917557 GYG917557:GYJ917557 HIC917557:HIF917557 HRY917557:HSB917557 IBU917557:IBX917557 ILQ917557:ILT917557 IVM917557:IVP917557 JFI917557:JFL917557 JPE917557:JPH917557 JZA917557:JZD917557 KIW917557:KIZ917557 KSS917557:KSV917557 LCO917557:LCR917557 LMK917557:LMN917557 LWG917557:LWJ917557 MGC917557:MGF917557 MPY917557:MQB917557 MZU917557:MZX917557 NJQ917557:NJT917557 NTM917557:NTP917557 ODI917557:ODL917557 ONE917557:ONH917557 OXA917557:OXD917557 PGW917557:PGZ917557 PQS917557:PQV917557 QAO917557:QAR917557 QKK917557:QKN917557 QUG917557:QUJ917557 REC917557:REF917557 RNY917557:ROB917557 RXU917557:RXX917557 SHQ917557:SHT917557 SRM917557:SRP917557 TBI917557:TBL917557 TLE917557:TLH917557 TVA917557:TVD917557 UEW917557:UEZ917557 UOS917557:UOV917557 UYO917557:UYR917557 VIK917557:VIN917557 VSG917557:VSJ917557 WCC917557:WCF917557 WLY917557:WMB917557 WVU917557:WVX917557 M983093:P983093 JI983093:JL983093 TE983093:TH983093 ADA983093:ADD983093 AMW983093:AMZ983093 AWS983093:AWV983093 BGO983093:BGR983093 BQK983093:BQN983093 CAG983093:CAJ983093 CKC983093:CKF983093 CTY983093:CUB983093 DDU983093:DDX983093 DNQ983093:DNT983093 DXM983093:DXP983093 EHI983093:EHL983093 ERE983093:ERH983093 FBA983093:FBD983093 FKW983093:FKZ983093 FUS983093:FUV983093 GEO983093:GER983093 GOK983093:GON983093 GYG983093:GYJ983093 HIC983093:HIF983093 HRY983093:HSB983093 IBU983093:IBX983093 ILQ983093:ILT983093 IVM983093:IVP983093 JFI983093:JFL983093 JPE983093:JPH983093 JZA983093:JZD983093 KIW983093:KIZ983093 KSS983093:KSV983093 LCO983093:LCR983093 LMK983093:LMN983093 LWG983093:LWJ983093 MGC983093:MGF983093 MPY983093:MQB983093 MZU983093:MZX983093 NJQ983093:NJT983093 NTM983093:NTP983093 ODI983093:ODL983093 ONE983093:ONH983093 OXA983093:OXD983093 PGW983093:PGZ983093 PQS983093:PQV983093 QAO983093:QAR983093 QKK983093:QKN983093 QUG983093:QUJ983093 REC983093:REF983093 RNY983093:ROB983093 RXU983093:RXX983093 SHQ983093:SHT983093 SRM983093:SRP983093 TBI983093:TBL983093 TLE983093:TLH983093 TVA983093:TVD983093 UEW983093:UEZ983093 UOS983093:UOV983093 UYO983093:UYR983093 VIK983093:VIN983093 VSG983093:VSJ983093 WCC983093:WCF983093 WLY983093:WMB983093 WVU983093:WVX983093" xr:uid="{CE3577A2-A3AB-4DF6-B07E-C4DFBBBB1F81}">
      <formula1>$AG$53:$AG$58</formula1>
    </dataValidation>
    <dataValidation type="list" allowBlank="1" showInputMessage="1" showErrorMessage="1" sqref="Q53 JM53 TI53 ADE53 ANA53 AWW53 BGS53 BQO53 CAK53 CKG53 CUC53 DDY53 DNU53 DXQ53 EHM53 ERI53 FBE53 FLA53 FUW53 GES53 GOO53 GYK53 HIG53 HSC53 IBY53 ILU53 IVQ53 JFM53 JPI53 JZE53 KJA53 KSW53 LCS53 LMO53 LWK53 MGG53 MQC53 MZY53 NJU53 NTQ53 ODM53 ONI53 OXE53 PHA53 PQW53 QAS53 QKO53 QUK53 REG53 ROC53 RXY53 SHU53 SRQ53 TBM53 TLI53 TVE53 UFA53 UOW53 UYS53 VIO53 VSK53 WCG53 WMC53 WVY53 Q65589 JM65589 TI65589 ADE65589 ANA65589 AWW65589 BGS65589 BQO65589 CAK65589 CKG65589 CUC65589 DDY65589 DNU65589 DXQ65589 EHM65589 ERI65589 FBE65589 FLA65589 FUW65589 GES65589 GOO65589 GYK65589 HIG65589 HSC65589 IBY65589 ILU65589 IVQ65589 JFM65589 JPI65589 JZE65589 KJA65589 KSW65589 LCS65589 LMO65589 LWK65589 MGG65589 MQC65589 MZY65589 NJU65589 NTQ65589 ODM65589 ONI65589 OXE65589 PHA65589 PQW65589 QAS65589 QKO65589 QUK65589 REG65589 ROC65589 RXY65589 SHU65589 SRQ65589 TBM65589 TLI65589 TVE65589 UFA65589 UOW65589 UYS65589 VIO65589 VSK65589 WCG65589 WMC65589 WVY65589 Q131125 JM131125 TI131125 ADE131125 ANA131125 AWW131125 BGS131125 BQO131125 CAK131125 CKG131125 CUC131125 DDY131125 DNU131125 DXQ131125 EHM131125 ERI131125 FBE131125 FLA131125 FUW131125 GES131125 GOO131125 GYK131125 HIG131125 HSC131125 IBY131125 ILU131125 IVQ131125 JFM131125 JPI131125 JZE131125 KJA131125 KSW131125 LCS131125 LMO131125 LWK131125 MGG131125 MQC131125 MZY131125 NJU131125 NTQ131125 ODM131125 ONI131125 OXE131125 PHA131125 PQW131125 QAS131125 QKO131125 QUK131125 REG131125 ROC131125 RXY131125 SHU131125 SRQ131125 TBM131125 TLI131125 TVE131125 UFA131125 UOW131125 UYS131125 VIO131125 VSK131125 WCG131125 WMC131125 WVY131125 Q196661 JM196661 TI196661 ADE196661 ANA196661 AWW196661 BGS196661 BQO196661 CAK196661 CKG196661 CUC196661 DDY196661 DNU196661 DXQ196661 EHM196661 ERI196661 FBE196661 FLA196661 FUW196661 GES196661 GOO196661 GYK196661 HIG196661 HSC196661 IBY196661 ILU196661 IVQ196661 JFM196661 JPI196661 JZE196661 KJA196661 KSW196661 LCS196661 LMO196661 LWK196661 MGG196661 MQC196661 MZY196661 NJU196661 NTQ196661 ODM196661 ONI196661 OXE196661 PHA196661 PQW196661 QAS196661 QKO196661 QUK196661 REG196661 ROC196661 RXY196661 SHU196661 SRQ196661 TBM196661 TLI196661 TVE196661 UFA196661 UOW196661 UYS196661 VIO196661 VSK196661 WCG196661 WMC196661 WVY196661 Q262197 JM262197 TI262197 ADE262197 ANA262197 AWW262197 BGS262197 BQO262197 CAK262197 CKG262197 CUC262197 DDY262197 DNU262197 DXQ262197 EHM262197 ERI262197 FBE262197 FLA262197 FUW262197 GES262197 GOO262197 GYK262197 HIG262197 HSC262197 IBY262197 ILU262197 IVQ262197 JFM262197 JPI262197 JZE262197 KJA262197 KSW262197 LCS262197 LMO262197 LWK262197 MGG262197 MQC262197 MZY262197 NJU262197 NTQ262197 ODM262197 ONI262197 OXE262197 PHA262197 PQW262197 QAS262197 QKO262197 QUK262197 REG262197 ROC262197 RXY262197 SHU262197 SRQ262197 TBM262197 TLI262197 TVE262197 UFA262197 UOW262197 UYS262197 VIO262197 VSK262197 WCG262197 WMC262197 WVY262197 Q327733 JM327733 TI327733 ADE327733 ANA327733 AWW327733 BGS327733 BQO327733 CAK327733 CKG327733 CUC327733 DDY327733 DNU327733 DXQ327733 EHM327733 ERI327733 FBE327733 FLA327733 FUW327733 GES327733 GOO327733 GYK327733 HIG327733 HSC327733 IBY327733 ILU327733 IVQ327733 JFM327733 JPI327733 JZE327733 KJA327733 KSW327733 LCS327733 LMO327733 LWK327733 MGG327733 MQC327733 MZY327733 NJU327733 NTQ327733 ODM327733 ONI327733 OXE327733 PHA327733 PQW327733 QAS327733 QKO327733 QUK327733 REG327733 ROC327733 RXY327733 SHU327733 SRQ327733 TBM327733 TLI327733 TVE327733 UFA327733 UOW327733 UYS327733 VIO327733 VSK327733 WCG327733 WMC327733 WVY327733 Q393269 JM393269 TI393269 ADE393269 ANA393269 AWW393269 BGS393269 BQO393269 CAK393269 CKG393269 CUC393269 DDY393269 DNU393269 DXQ393269 EHM393269 ERI393269 FBE393269 FLA393269 FUW393269 GES393269 GOO393269 GYK393269 HIG393269 HSC393269 IBY393269 ILU393269 IVQ393269 JFM393269 JPI393269 JZE393269 KJA393269 KSW393269 LCS393269 LMO393269 LWK393269 MGG393269 MQC393269 MZY393269 NJU393269 NTQ393269 ODM393269 ONI393269 OXE393269 PHA393269 PQW393269 QAS393269 QKO393269 QUK393269 REG393269 ROC393269 RXY393269 SHU393269 SRQ393269 TBM393269 TLI393269 TVE393269 UFA393269 UOW393269 UYS393269 VIO393269 VSK393269 WCG393269 WMC393269 WVY393269 Q458805 JM458805 TI458805 ADE458805 ANA458805 AWW458805 BGS458805 BQO458805 CAK458805 CKG458805 CUC458805 DDY458805 DNU458805 DXQ458805 EHM458805 ERI458805 FBE458805 FLA458805 FUW458805 GES458805 GOO458805 GYK458805 HIG458805 HSC458805 IBY458805 ILU458805 IVQ458805 JFM458805 JPI458805 JZE458805 KJA458805 KSW458805 LCS458805 LMO458805 LWK458805 MGG458805 MQC458805 MZY458805 NJU458805 NTQ458805 ODM458805 ONI458805 OXE458805 PHA458805 PQW458805 QAS458805 QKO458805 QUK458805 REG458805 ROC458805 RXY458805 SHU458805 SRQ458805 TBM458805 TLI458805 TVE458805 UFA458805 UOW458805 UYS458805 VIO458805 VSK458805 WCG458805 WMC458805 WVY458805 Q524341 JM524341 TI524341 ADE524341 ANA524341 AWW524341 BGS524341 BQO524341 CAK524341 CKG524341 CUC524341 DDY524341 DNU524341 DXQ524341 EHM524341 ERI524341 FBE524341 FLA524341 FUW524341 GES524341 GOO524341 GYK524341 HIG524341 HSC524341 IBY524341 ILU524341 IVQ524341 JFM524341 JPI524341 JZE524341 KJA524341 KSW524341 LCS524341 LMO524341 LWK524341 MGG524341 MQC524341 MZY524341 NJU524341 NTQ524341 ODM524341 ONI524341 OXE524341 PHA524341 PQW524341 QAS524341 QKO524341 QUK524341 REG524341 ROC524341 RXY524341 SHU524341 SRQ524341 TBM524341 TLI524341 TVE524341 UFA524341 UOW524341 UYS524341 VIO524341 VSK524341 WCG524341 WMC524341 WVY524341 Q589877 JM589877 TI589877 ADE589877 ANA589877 AWW589877 BGS589877 BQO589877 CAK589877 CKG589877 CUC589877 DDY589877 DNU589877 DXQ589877 EHM589877 ERI589877 FBE589877 FLA589877 FUW589877 GES589877 GOO589877 GYK589877 HIG589877 HSC589877 IBY589877 ILU589877 IVQ589877 JFM589877 JPI589877 JZE589877 KJA589877 KSW589877 LCS589877 LMO589877 LWK589877 MGG589877 MQC589877 MZY589877 NJU589877 NTQ589877 ODM589877 ONI589877 OXE589877 PHA589877 PQW589877 QAS589877 QKO589877 QUK589877 REG589877 ROC589877 RXY589877 SHU589877 SRQ589877 TBM589877 TLI589877 TVE589877 UFA589877 UOW589877 UYS589877 VIO589877 VSK589877 WCG589877 WMC589877 WVY589877 Q655413 JM655413 TI655413 ADE655413 ANA655413 AWW655413 BGS655413 BQO655413 CAK655413 CKG655413 CUC655413 DDY655413 DNU655413 DXQ655413 EHM655413 ERI655413 FBE655413 FLA655413 FUW655413 GES655413 GOO655413 GYK655413 HIG655413 HSC655413 IBY655413 ILU655413 IVQ655413 JFM655413 JPI655413 JZE655413 KJA655413 KSW655413 LCS655413 LMO655413 LWK655413 MGG655413 MQC655413 MZY655413 NJU655413 NTQ655413 ODM655413 ONI655413 OXE655413 PHA655413 PQW655413 QAS655413 QKO655413 QUK655413 REG655413 ROC655413 RXY655413 SHU655413 SRQ655413 TBM655413 TLI655413 TVE655413 UFA655413 UOW655413 UYS655413 VIO655413 VSK655413 WCG655413 WMC655413 WVY655413 Q720949 JM720949 TI720949 ADE720949 ANA720949 AWW720949 BGS720949 BQO720949 CAK720949 CKG720949 CUC720949 DDY720949 DNU720949 DXQ720949 EHM720949 ERI720949 FBE720949 FLA720949 FUW720949 GES720949 GOO720949 GYK720949 HIG720949 HSC720949 IBY720949 ILU720949 IVQ720949 JFM720949 JPI720949 JZE720949 KJA720949 KSW720949 LCS720949 LMO720949 LWK720949 MGG720949 MQC720949 MZY720949 NJU720949 NTQ720949 ODM720949 ONI720949 OXE720949 PHA720949 PQW720949 QAS720949 QKO720949 QUK720949 REG720949 ROC720949 RXY720949 SHU720949 SRQ720949 TBM720949 TLI720949 TVE720949 UFA720949 UOW720949 UYS720949 VIO720949 VSK720949 WCG720949 WMC720949 WVY720949 Q786485 JM786485 TI786485 ADE786485 ANA786485 AWW786485 BGS786485 BQO786485 CAK786485 CKG786485 CUC786485 DDY786485 DNU786485 DXQ786485 EHM786485 ERI786485 FBE786485 FLA786485 FUW786485 GES786485 GOO786485 GYK786485 HIG786485 HSC786485 IBY786485 ILU786485 IVQ786485 JFM786485 JPI786485 JZE786485 KJA786485 KSW786485 LCS786485 LMO786485 LWK786485 MGG786485 MQC786485 MZY786485 NJU786485 NTQ786485 ODM786485 ONI786485 OXE786485 PHA786485 PQW786485 QAS786485 QKO786485 QUK786485 REG786485 ROC786485 RXY786485 SHU786485 SRQ786485 TBM786485 TLI786485 TVE786485 UFA786485 UOW786485 UYS786485 VIO786485 VSK786485 WCG786485 WMC786485 WVY786485 Q852021 JM852021 TI852021 ADE852021 ANA852021 AWW852021 BGS852021 BQO852021 CAK852021 CKG852021 CUC852021 DDY852021 DNU852021 DXQ852021 EHM852021 ERI852021 FBE852021 FLA852021 FUW852021 GES852021 GOO852021 GYK852021 HIG852021 HSC852021 IBY852021 ILU852021 IVQ852021 JFM852021 JPI852021 JZE852021 KJA852021 KSW852021 LCS852021 LMO852021 LWK852021 MGG852021 MQC852021 MZY852021 NJU852021 NTQ852021 ODM852021 ONI852021 OXE852021 PHA852021 PQW852021 QAS852021 QKO852021 QUK852021 REG852021 ROC852021 RXY852021 SHU852021 SRQ852021 TBM852021 TLI852021 TVE852021 UFA852021 UOW852021 UYS852021 VIO852021 VSK852021 WCG852021 WMC852021 WVY852021 Q917557 JM917557 TI917557 ADE917557 ANA917557 AWW917557 BGS917557 BQO917557 CAK917557 CKG917557 CUC917557 DDY917557 DNU917557 DXQ917557 EHM917557 ERI917557 FBE917557 FLA917557 FUW917557 GES917557 GOO917557 GYK917557 HIG917557 HSC917557 IBY917557 ILU917557 IVQ917557 JFM917557 JPI917557 JZE917557 KJA917557 KSW917557 LCS917557 LMO917557 LWK917557 MGG917557 MQC917557 MZY917557 NJU917557 NTQ917557 ODM917557 ONI917557 OXE917557 PHA917557 PQW917557 QAS917557 QKO917557 QUK917557 REG917557 ROC917557 RXY917557 SHU917557 SRQ917557 TBM917557 TLI917557 TVE917557 UFA917557 UOW917557 UYS917557 VIO917557 VSK917557 WCG917557 WMC917557 WVY917557 Q983093 JM983093 TI983093 ADE983093 ANA983093 AWW983093 BGS983093 BQO983093 CAK983093 CKG983093 CUC983093 DDY983093 DNU983093 DXQ983093 EHM983093 ERI983093 FBE983093 FLA983093 FUW983093 GES983093 GOO983093 GYK983093 HIG983093 HSC983093 IBY983093 ILU983093 IVQ983093 JFM983093 JPI983093 JZE983093 KJA983093 KSW983093 LCS983093 LMO983093 LWK983093 MGG983093 MQC983093 MZY983093 NJU983093 NTQ983093 ODM983093 ONI983093 OXE983093 PHA983093 PQW983093 QAS983093 QKO983093 QUK983093 REG983093 ROC983093 RXY983093 SHU983093 SRQ983093 TBM983093 TLI983093 TVE983093 UFA983093 UOW983093 UYS983093 VIO983093 VSK983093 WCG983093 WMC983093 WVY983093" xr:uid="{4BAACC6F-DCF2-473C-A851-C15AC4F1C953}">
      <formula1>$AH$20:$AH$25</formula1>
    </dataValidation>
    <dataValidation type="list" allowBlank="1" showInputMessage="1" showErrorMessage="1" sqref="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xr:uid="{AA8E84BD-0AD5-440B-ACA4-64992B699FA6}">
      <formula1>$AH$23:$AH$24</formula1>
    </dataValidation>
    <dataValidation type="list" allowBlank="1" showInputMessage="1" showErrorMessage="1" sqref="D19:O19 IZ19:JK19 SV19:TG19 ACR19:ADC19 AMN19:AMY19 AWJ19:AWU19 BGF19:BGQ19 BQB19:BQM19 BZX19:CAI19 CJT19:CKE19 CTP19:CUA19 DDL19:DDW19 DNH19:DNS19 DXD19:DXO19 EGZ19:EHK19 EQV19:ERG19 FAR19:FBC19 FKN19:FKY19 FUJ19:FUU19 GEF19:GEQ19 GOB19:GOM19 GXX19:GYI19 HHT19:HIE19 HRP19:HSA19 IBL19:IBW19 ILH19:ILS19 IVD19:IVO19 JEZ19:JFK19 JOV19:JPG19 JYR19:JZC19 KIN19:KIY19 KSJ19:KSU19 LCF19:LCQ19 LMB19:LMM19 LVX19:LWI19 MFT19:MGE19 MPP19:MQA19 MZL19:MZW19 NJH19:NJS19 NTD19:NTO19 OCZ19:ODK19 OMV19:ONG19 OWR19:OXC19 PGN19:PGY19 PQJ19:PQU19 QAF19:QAQ19 QKB19:QKM19 QTX19:QUI19 RDT19:REE19 RNP19:ROA19 RXL19:RXW19 SHH19:SHS19 SRD19:SRO19 TAZ19:TBK19 TKV19:TLG19 TUR19:TVC19 UEN19:UEY19 UOJ19:UOU19 UYF19:UYQ19 VIB19:VIM19 VRX19:VSI19 WBT19:WCE19 WLP19:WMA19 WVL19:WVW19 D65555:O65555 IZ65555:JK65555 SV65555:TG65555 ACR65555:ADC65555 AMN65555:AMY65555 AWJ65555:AWU65555 BGF65555:BGQ65555 BQB65555:BQM65555 BZX65555:CAI65555 CJT65555:CKE65555 CTP65555:CUA65555 DDL65555:DDW65555 DNH65555:DNS65555 DXD65555:DXO65555 EGZ65555:EHK65555 EQV65555:ERG65555 FAR65555:FBC65555 FKN65555:FKY65555 FUJ65555:FUU65555 GEF65555:GEQ65555 GOB65555:GOM65555 GXX65555:GYI65555 HHT65555:HIE65555 HRP65555:HSA65555 IBL65555:IBW65555 ILH65555:ILS65555 IVD65555:IVO65555 JEZ65555:JFK65555 JOV65555:JPG65555 JYR65555:JZC65555 KIN65555:KIY65555 KSJ65555:KSU65555 LCF65555:LCQ65555 LMB65555:LMM65555 LVX65555:LWI65555 MFT65555:MGE65555 MPP65555:MQA65555 MZL65555:MZW65555 NJH65555:NJS65555 NTD65555:NTO65555 OCZ65555:ODK65555 OMV65555:ONG65555 OWR65555:OXC65555 PGN65555:PGY65555 PQJ65555:PQU65555 QAF65555:QAQ65555 QKB65555:QKM65555 QTX65555:QUI65555 RDT65555:REE65555 RNP65555:ROA65555 RXL65555:RXW65555 SHH65555:SHS65555 SRD65555:SRO65555 TAZ65555:TBK65555 TKV65555:TLG65555 TUR65555:TVC65555 UEN65555:UEY65555 UOJ65555:UOU65555 UYF65555:UYQ65555 VIB65555:VIM65555 VRX65555:VSI65555 WBT65555:WCE65555 WLP65555:WMA65555 WVL65555:WVW65555 D131091:O131091 IZ131091:JK131091 SV131091:TG131091 ACR131091:ADC131091 AMN131091:AMY131091 AWJ131091:AWU131091 BGF131091:BGQ131091 BQB131091:BQM131091 BZX131091:CAI131091 CJT131091:CKE131091 CTP131091:CUA131091 DDL131091:DDW131091 DNH131091:DNS131091 DXD131091:DXO131091 EGZ131091:EHK131091 EQV131091:ERG131091 FAR131091:FBC131091 FKN131091:FKY131091 FUJ131091:FUU131091 GEF131091:GEQ131091 GOB131091:GOM131091 GXX131091:GYI131091 HHT131091:HIE131091 HRP131091:HSA131091 IBL131091:IBW131091 ILH131091:ILS131091 IVD131091:IVO131091 JEZ131091:JFK131091 JOV131091:JPG131091 JYR131091:JZC131091 KIN131091:KIY131091 KSJ131091:KSU131091 LCF131091:LCQ131091 LMB131091:LMM131091 LVX131091:LWI131091 MFT131091:MGE131091 MPP131091:MQA131091 MZL131091:MZW131091 NJH131091:NJS131091 NTD131091:NTO131091 OCZ131091:ODK131091 OMV131091:ONG131091 OWR131091:OXC131091 PGN131091:PGY131091 PQJ131091:PQU131091 QAF131091:QAQ131091 QKB131091:QKM131091 QTX131091:QUI131091 RDT131091:REE131091 RNP131091:ROA131091 RXL131091:RXW131091 SHH131091:SHS131091 SRD131091:SRO131091 TAZ131091:TBK131091 TKV131091:TLG131091 TUR131091:TVC131091 UEN131091:UEY131091 UOJ131091:UOU131091 UYF131091:UYQ131091 VIB131091:VIM131091 VRX131091:VSI131091 WBT131091:WCE131091 WLP131091:WMA131091 WVL131091:WVW131091 D196627:O196627 IZ196627:JK196627 SV196627:TG196627 ACR196627:ADC196627 AMN196627:AMY196627 AWJ196627:AWU196627 BGF196627:BGQ196627 BQB196627:BQM196627 BZX196627:CAI196627 CJT196627:CKE196627 CTP196627:CUA196627 DDL196627:DDW196627 DNH196627:DNS196627 DXD196627:DXO196627 EGZ196627:EHK196627 EQV196627:ERG196627 FAR196627:FBC196627 FKN196627:FKY196627 FUJ196627:FUU196627 GEF196627:GEQ196627 GOB196627:GOM196627 GXX196627:GYI196627 HHT196627:HIE196627 HRP196627:HSA196627 IBL196627:IBW196627 ILH196627:ILS196627 IVD196627:IVO196627 JEZ196627:JFK196627 JOV196627:JPG196627 JYR196627:JZC196627 KIN196627:KIY196627 KSJ196627:KSU196627 LCF196627:LCQ196627 LMB196627:LMM196627 LVX196627:LWI196627 MFT196627:MGE196627 MPP196627:MQA196627 MZL196627:MZW196627 NJH196627:NJS196627 NTD196627:NTO196627 OCZ196627:ODK196627 OMV196627:ONG196627 OWR196627:OXC196627 PGN196627:PGY196627 PQJ196627:PQU196627 QAF196627:QAQ196627 QKB196627:QKM196627 QTX196627:QUI196627 RDT196627:REE196627 RNP196627:ROA196627 RXL196627:RXW196627 SHH196627:SHS196627 SRD196627:SRO196627 TAZ196627:TBK196627 TKV196627:TLG196627 TUR196627:TVC196627 UEN196627:UEY196627 UOJ196627:UOU196627 UYF196627:UYQ196627 VIB196627:VIM196627 VRX196627:VSI196627 WBT196627:WCE196627 WLP196627:WMA196627 WVL196627:WVW196627 D262163:O262163 IZ262163:JK262163 SV262163:TG262163 ACR262163:ADC262163 AMN262163:AMY262163 AWJ262163:AWU262163 BGF262163:BGQ262163 BQB262163:BQM262163 BZX262163:CAI262163 CJT262163:CKE262163 CTP262163:CUA262163 DDL262163:DDW262163 DNH262163:DNS262163 DXD262163:DXO262163 EGZ262163:EHK262163 EQV262163:ERG262163 FAR262163:FBC262163 FKN262163:FKY262163 FUJ262163:FUU262163 GEF262163:GEQ262163 GOB262163:GOM262163 GXX262163:GYI262163 HHT262163:HIE262163 HRP262163:HSA262163 IBL262163:IBW262163 ILH262163:ILS262163 IVD262163:IVO262163 JEZ262163:JFK262163 JOV262163:JPG262163 JYR262163:JZC262163 KIN262163:KIY262163 KSJ262163:KSU262163 LCF262163:LCQ262163 LMB262163:LMM262163 LVX262163:LWI262163 MFT262163:MGE262163 MPP262163:MQA262163 MZL262163:MZW262163 NJH262163:NJS262163 NTD262163:NTO262163 OCZ262163:ODK262163 OMV262163:ONG262163 OWR262163:OXC262163 PGN262163:PGY262163 PQJ262163:PQU262163 QAF262163:QAQ262163 QKB262163:QKM262163 QTX262163:QUI262163 RDT262163:REE262163 RNP262163:ROA262163 RXL262163:RXW262163 SHH262163:SHS262163 SRD262163:SRO262163 TAZ262163:TBK262163 TKV262163:TLG262163 TUR262163:TVC262163 UEN262163:UEY262163 UOJ262163:UOU262163 UYF262163:UYQ262163 VIB262163:VIM262163 VRX262163:VSI262163 WBT262163:WCE262163 WLP262163:WMA262163 WVL262163:WVW262163 D327699:O327699 IZ327699:JK327699 SV327699:TG327699 ACR327699:ADC327699 AMN327699:AMY327699 AWJ327699:AWU327699 BGF327699:BGQ327699 BQB327699:BQM327699 BZX327699:CAI327699 CJT327699:CKE327699 CTP327699:CUA327699 DDL327699:DDW327699 DNH327699:DNS327699 DXD327699:DXO327699 EGZ327699:EHK327699 EQV327699:ERG327699 FAR327699:FBC327699 FKN327699:FKY327699 FUJ327699:FUU327699 GEF327699:GEQ327699 GOB327699:GOM327699 GXX327699:GYI327699 HHT327699:HIE327699 HRP327699:HSA327699 IBL327699:IBW327699 ILH327699:ILS327699 IVD327699:IVO327699 JEZ327699:JFK327699 JOV327699:JPG327699 JYR327699:JZC327699 KIN327699:KIY327699 KSJ327699:KSU327699 LCF327699:LCQ327699 LMB327699:LMM327699 LVX327699:LWI327699 MFT327699:MGE327699 MPP327699:MQA327699 MZL327699:MZW327699 NJH327699:NJS327699 NTD327699:NTO327699 OCZ327699:ODK327699 OMV327699:ONG327699 OWR327699:OXC327699 PGN327699:PGY327699 PQJ327699:PQU327699 QAF327699:QAQ327699 QKB327699:QKM327699 QTX327699:QUI327699 RDT327699:REE327699 RNP327699:ROA327699 RXL327699:RXW327699 SHH327699:SHS327699 SRD327699:SRO327699 TAZ327699:TBK327699 TKV327699:TLG327699 TUR327699:TVC327699 UEN327699:UEY327699 UOJ327699:UOU327699 UYF327699:UYQ327699 VIB327699:VIM327699 VRX327699:VSI327699 WBT327699:WCE327699 WLP327699:WMA327699 WVL327699:WVW327699 D393235:O393235 IZ393235:JK393235 SV393235:TG393235 ACR393235:ADC393235 AMN393235:AMY393235 AWJ393235:AWU393235 BGF393235:BGQ393235 BQB393235:BQM393235 BZX393235:CAI393235 CJT393235:CKE393235 CTP393235:CUA393235 DDL393235:DDW393235 DNH393235:DNS393235 DXD393235:DXO393235 EGZ393235:EHK393235 EQV393235:ERG393235 FAR393235:FBC393235 FKN393235:FKY393235 FUJ393235:FUU393235 GEF393235:GEQ393235 GOB393235:GOM393235 GXX393235:GYI393235 HHT393235:HIE393235 HRP393235:HSA393235 IBL393235:IBW393235 ILH393235:ILS393235 IVD393235:IVO393235 JEZ393235:JFK393235 JOV393235:JPG393235 JYR393235:JZC393235 KIN393235:KIY393235 KSJ393235:KSU393235 LCF393235:LCQ393235 LMB393235:LMM393235 LVX393235:LWI393235 MFT393235:MGE393235 MPP393235:MQA393235 MZL393235:MZW393235 NJH393235:NJS393235 NTD393235:NTO393235 OCZ393235:ODK393235 OMV393235:ONG393235 OWR393235:OXC393235 PGN393235:PGY393235 PQJ393235:PQU393235 QAF393235:QAQ393235 QKB393235:QKM393235 QTX393235:QUI393235 RDT393235:REE393235 RNP393235:ROA393235 RXL393235:RXW393235 SHH393235:SHS393235 SRD393235:SRO393235 TAZ393235:TBK393235 TKV393235:TLG393235 TUR393235:TVC393235 UEN393235:UEY393235 UOJ393235:UOU393235 UYF393235:UYQ393235 VIB393235:VIM393235 VRX393235:VSI393235 WBT393235:WCE393235 WLP393235:WMA393235 WVL393235:WVW393235 D458771:O458771 IZ458771:JK458771 SV458771:TG458771 ACR458771:ADC458771 AMN458771:AMY458771 AWJ458771:AWU458771 BGF458771:BGQ458771 BQB458771:BQM458771 BZX458771:CAI458771 CJT458771:CKE458771 CTP458771:CUA458771 DDL458771:DDW458771 DNH458771:DNS458771 DXD458771:DXO458771 EGZ458771:EHK458771 EQV458771:ERG458771 FAR458771:FBC458771 FKN458771:FKY458771 FUJ458771:FUU458771 GEF458771:GEQ458771 GOB458771:GOM458771 GXX458771:GYI458771 HHT458771:HIE458771 HRP458771:HSA458771 IBL458771:IBW458771 ILH458771:ILS458771 IVD458771:IVO458771 JEZ458771:JFK458771 JOV458771:JPG458771 JYR458771:JZC458771 KIN458771:KIY458771 KSJ458771:KSU458771 LCF458771:LCQ458771 LMB458771:LMM458771 LVX458771:LWI458771 MFT458771:MGE458771 MPP458771:MQA458771 MZL458771:MZW458771 NJH458771:NJS458771 NTD458771:NTO458771 OCZ458771:ODK458771 OMV458771:ONG458771 OWR458771:OXC458771 PGN458771:PGY458771 PQJ458771:PQU458771 QAF458771:QAQ458771 QKB458771:QKM458771 QTX458771:QUI458771 RDT458771:REE458771 RNP458771:ROA458771 RXL458771:RXW458771 SHH458771:SHS458771 SRD458771:SRO458771 TAZ458771:TBK458771 TKV458771:TLG458771 TUR458771:TVC458771 UEN458771:UEY458771 UOJ458771:UOU458771 UYF458771:UYQ458771 VIB458771:VIM458771 VRX458771:VSI458771 WBT458771:WCE458771 WLP458771:WMA458771 WVL458771:WVW458771 D524307:O524307 IZ524307:JK524307 SV524307:TG524307 ACR524307:ADC524307 AMN524307:AMY524307 AWJ524307:AWU524307 BGF524307:BGQ524307 BQB524307:BQM524307 BZX524307:CAI524307 CJT524307:CKE524307 CTP524307:CUA524307 DDL524307:DDW524307 DNH524307:DNS524307 DXD524307:DXO524307 EGZ524307:EHK524307 EQV524307:ERG524307 FAR524307:FBC524307 FKN524307:FKY524307 FUJ524307:FUU524307 GEF524307:GEQ524307 GOB524307:GOM524307 GXX524307:GYI524307 HHT524307:HIE524307 HRP524307:HSA524307 IBL524307:IBW524307 ILH524307:ILS524307 IVD524307:IVO524307 JEZ524307:JFK524307 JOV524307:JPG524307 JYR524307:JZC524307 KIN524307:KIY524307 KSJ524307:KSU524307 LCF524307:LCQ524307 LMB524307:LMM524307 LVX524307:LWI524307 MFT524307:MGE524307 MPP524307:MQA524307 MZL524307:MZW524307 NJH524307:NJS524307 NTD524307:NTO524307 OCZ524307:ODK524307 OMV524307:ONG524307 OWR524307:OXC524307 PGN524307:PGY524307 PQJ524307:PQU524307 QAF524307:QAQ524307 QKB524307:QKM524307 QTX524307:QUI524307 RDT524307:REE524307 RNP524307:ROA524307 RXL524307:RXW524307 SHH524307:SHS524307 SRD524307:SRO524307 TAZ524307:TBK524307 TKV524307:TLG524307 TUR524307:TVC524307 UEN524307:UEY524307 UOJ524307:UOU524307 UYF524307:UYQ524307 VIB524307:VIM524307 VRX524307:VSI524307 WBT524307:WCE524307 WLP524307:WMA524307 WVL524307:WVW524307 D589843:O589843 IZ589843:JK589843 SV589843:TG589843 ACR589843:ADC589843 AMN589843:AMY589843 AWJ589843:AWU589843 BGF589843:BGQ589843 BQB589843:BQM589843 BZX589843:CAI589843 CJT589843:CKE589843 CTP589843:CUA589843 DDL589843:DDW589843 DNH589843:DNS589843 DXD589843:DXO589843 EGZ589843:EHK589843 EQV589843:ERG589843 FAR589843:FBC589843 FKN589843:FKY589843 FUJ589843:FUU589843 GEF589843:GEQ589843 GOB589843:GOM589843 GXX589843:GYI589843 HHT589843:HIE589843 HRP589843:HSA589843 IBL589843:IBW589843 ILH589843:ILS589843 IVD589843:IVO589843 JEZ589843:JFK589843 JOV589843:JPG589843 JYR589843:JZC589843 KIN589843:KIY589843 KSJ589843:KSU589843 LCF589843:LCQ589843 LMB589843:LMM589843 LVX589843:LWI589843 MFT589843:MGE589843 MPP589843:MQA589843 MZL589843:MZW589843 NJH589843:NJS589843 NTD589843:NTO589843 OCZ589843:ODK589843 OMV589843:ONG589843 OWR589843:OXC589843 PGN589843:PGY589843 PQJ589843:PQU589843 QAF589843:QAQ589843 QKB589843:QKM589843 QTX589843:QUI589843 RDT589843:REE589843 RNP589843:ROA589843 RXL589843:RXW589843 SHH589843:SHS589843 SRD589843:SRO589843 TAZ589843:TBK589843 TKV589843:TLG589843 TUR589843:TVC589843 UEN589843:UEY589843 UOJ589843:UOU589843 UYF589843:UYQ589843 VIB589843:VIM589843 VRX589843:VSI589843 WBT589843:WCE589843 WLP589843:WMA589843 WVL589843:WVW589843 D655379:O655379 IZ655379:JK655379 SV655379:TG655379 ACR655379:ADC655379 AMN655379:AMY655379 AWJ655379:AWU655379 BGF655379:BGQ655379 BQB655379:BQM655379 BZX655379:CAI655379 CJT655379:CKE655379 CTP655379:CUA655379 DDL655379:DDW655379 DNH655379:DNS655379 DXD655379:DXO655379 EGZ655379:EHK655379 EQV655379:ERG655379 FAR655379:FBC655379 FKN655379:FKY655379 FUJ655379:FUU655379 GEF655379:GEQ655379 GOB655379:GOM655379 GXX655379:GYI655379 HHT655379:HIE655379 HRP655379:HSA655379 IBL655379:IBW655379 ILH655379:ILS655379 IVD655379:IVO655379 JEZ655379:JFK655379 JOV655379:JPG655379 JYR655379:JZC655379 KIN655379:KIY655379 KSJ655379:KSU655379 LCF655379:LCQ655379 LMB655379:LMM655379 LVX655379:LWI655379 MFT655379:MGE655379 MPP655379:MQA655379 MZL655379:MZW655379 NJH655379:NJS655379 NTD655379:NTO655379 OCZ655379:ODK655379 OMV655379:ONG655379 OWR655379:OXC655379 PGN655379:PGY655379 PQJ655379:PQU655379 QAF655379:QAQ655379 QKB655379:QKM655379 QTX655379:QUI655379 RDT655379:REE655379 RNP655379:ROA655379 RXL655379:RXW655379 SHH655379:SHS655379 SRD655379:SRO655379 TAZ655379:TBK655379 TKV655379:TLG655379 TUR655379:TVC655379 UEN655379:UEY655379 UOJ655379:UOU655379 UYF655379:UYQ655379 VIB655379:VIM655379 VRX655379:VSI655379 WBT655379:WCE655379 WLP655379:WMA655379 WVL655379:WVW655379 D720915:O720915 IZ720915:JK720915 SV720915:TG720915 ACR720915:ADC720915 AMN720915:AMY720915 AWJ720915:AWU720915 BGF720915:BGQ720915 BQB720915:BQM720915 BZX720915:CAI720915 CJT720915:CKE720915 CTP720915:CUA720915 DDL720915:DDW720915 DNH720915:DNS720915 DXD720915:DXO720915 EGZ720915:EHK720915 EQV720915:ERG720915 FAR720915:FBC720915 FKN720915:FKY720915 FUJ720915:FUU720915 GEF720915:GEQ720915 GOB720915:GOM720915 GXX720915:GYI720915 HHT720915:HIE720915 HRP720915:HSA720915 IBL720915:IBW720915 ILH720915:ILS720915 IVD720915:IVO720915 JEZ720915:JFK720915 JOV720915:JPG720915 JYR720915:JZC720915 KIN720915:KIY720915 KSJ720915:KSU720915 LCF720915:LCQ720915 LMB720915:LMM720915 LVX720915:LWI720915 MFT720915:MGE720915 MPP720915:MQA720915 MZL720915:MZW720915 NJH720915:NJS720915 NTD720915:NTO720915 OCZ720915:ODK720915 OMV720915:ONG720915 OWR720915:OXC720915 PGN720915:PGY720915 PQJ720915:PQU720915 QAF720915:QAQ720915 QKB720915:QKM720915 QTX720915:QUI720915 RDT720915:REE720915 RNP720915:ROA720915 RXL720915:RXW720915 SHH720915:SHS720915 SRD720915:SRO720915 TAZ720915:TBK720915 TKV720915:TLG720915 TUR720915:TVC720915 UEN720915:UEY720915 UOJ720915:UOU720915 UYF720915:UYQ720915 VIB720915:VIM720915 VRX720915:VSI720915 WBT720915:WCE720915 WLP720915:WMA720915 WVL720915:WVW720915 D786451:O786451 IZ786451:JK786451 SV786451:TG786451 ACR786451:ADC786451 AMN786451:AMY786451 AWJ786451:AWU786451 BGF786451:BGQ786451 BQB786451:BQM786451 BZX786451:CAI786451 CJT786451:CKE786451 CTP786451:CUA786451 DDL786451:DDW786451 DNH786451:DNS786451 DXD786451:DXO786451 EGZ786451:EHK786451 EQV786451:ERG786451 FAR786451:FBC786451 FKN786451:FKY786451 FUJ786451:FUU786451 GEF786451:GEQ786451 GOB786451:GOM786451 GXX786451:GYI786451 HHT786451:HIE786451 HRP786451:HSA786451 IBL786451:IBW786451 ILH786451:ILS786451 IVD786451:IVO786451 JEZ786451:JFK786451 JOV786451:JPG786451 JYR786451:JZC786451 KIN786451:KIY786451 KSJ786451:KSU786451 LCF786451:LCQ786451 LMB786451:LMM786451 LVX786451:LWI786451 MFT786451:MGE786451 MPP786451:MQA786451 MZL786451:MZW786451 NJH786451:NJS786451 NTD786451:NTO786451 OCZ786451:ODK786451 OMV786451:ONG786451 OWR786451:OXC786451 PGN786451:PGY786451 PQJ786451:PQU786451 QAF786451:QAQ786451 QKB786451:QKM786451 QTX786451:QUI786451 RDT786451:REE786451 RNP786451:ROA786451 RXL786451:RXW786451 SHH786451:SHS786451 SRD786451:SRO786451 TAZ786451:TBK786451 TKV786451:TLG786451 TUR786451:TVC786451 UEN786451:UEY786451 UOJ786451:UOU786451 UYF786451:UYQ786451 VIB786451:VIM786451 VRX786451:VSI786451 WBT786451:WCE786451 WLP786451:WMA786451 WVL786451:WVW786451 D851987:O851987 IZ851987:JK851987 SV851987:TG851987 ACR851987:ADC851987 AMN851987:AMY851987 AWJ851987:AWU851987 BGF851987:BGQ851987 BQB851987:BQM851987 BZX851987:CAI851987 CJT851987:CKE851987 CTP851987:CUA851987 DDL851987:DDW851987 DNH851987:DNS851987 DXD851987:DXO851987 EGZ851987:EHK851987 EQV851987:ERG851987 FAR851987:FBC851987 FKN851987:FKY851987 FUJ851987:FUU851987 GEF851987:GEQ851987 GOB851987:GOM851987 GXX851987:GYI851987 HHT851987:HIE851987 HRP851987:HSA851987 IBL851987:IBW851987 ILH851987:ILS851987 IVD851987:IVO851987 JEZ851987:JFK851987 JOV851987:JPG851987 JYR851987:JZC851987 KIN851987:KIY851987 KSJ851987:KSU851987 LCF851987:LCQ851987 LMB851987:LMM851987 LVX851987:LWI851987 MFT851987:MGE851987 MPP851987:MQA851987 MZL851987:MZW851987 NJH851987:NJS851987 NTD851987:NTO851987 OCZ851987:ODK851987 OMV851987:ONG851987 OWR851987:OXC851987 PGN851987:PGY851987 PQJ851987:PQU851987 QAF851987:QAQ851987 QKB851987:QKM851987 QTX851987:QUI851987 RDT851987:REE851987 RNP851987:ROA851987 RXL851987:RXW851987 SHH851987:SHS851987 SRD851987:SRO851987 TAZ851987:TBK851987 TKV851987:TLG851987 TUR851987:TVC851987 UEN851987:UEY851987 UOJ851987:UOU851987 UYF851987:UYQ851987 VIB851987:VIM851987 VRX851987:VSI851987 WBT851987:WCE851987 WLP851987:WMA851987 WVL851987:WVW851987 D917523:O917523 IZ917523:JK917523 SV917523:TG917523 ACR917523:ADC917523 AMN917523:AMY917523 AWJ917523:AWU917523 BGF917523:BGQ917523 BQB917523:BQM917523 BZX917523:CAI917523 CJT917523:CKE917523 CTP917523:CUA917523 DDL917523:DDW917523 DNH917523:DNS917523 DXD917523:DXO917523 EGZ917523:EHK917523 EQV917523:ERG917523 FAR917523:FBC917523 FKN917523:FKY917523 FUJ917523:FUU917523 GEF917523:GEQ917523 GOB917523:GOM917523 GXX917523:GYI917523 HHT917523:HIE917523 HRP917523:HSA917523 IBL917523:IBW917523 ILH917523:ILS917523 IVD917523:IVO917523 JEZ917523:JFK917523 JOV917523:JPG917523 JYR917523:JZC917523 KIN917523:KIY917523 KSJ917523:KSU917523 LCF917523:LCQ917523 LMB917523:LMM917523 LVX917523:LWI917523 MFT917523:MGE917523 MPP917523:MQA917523 MZL917523:MZW917523 NJH917523:NJS917523 NTD917523:NTO917523 OCZ917523:ODK917523 OMV917523:ONG917523 OWR917523:OXC917523 PGN917523:PGY917523 PQJ917523:PQU917523 QAF917523:QAQ917523 QKB917523:QKM917523 QTX917523:QUI917523 RDT917523:REE917523 RNP917523:ROA917523 RXL917523:RXW917523 SHH917523:SHS917523 SRD917523:SRO917523 TAZ917523:TBK917523 TKV917523:TLG917523 TUR917523:TVC917523 UEN917523:UEY917523 UOJ917523:UOU917523 UYF917523:UYQ917523 VIB917523:VIM917523 VRX917523:VSI917523 WBT917523:WCE917523 WLP917523:WMA917523 WVL917523:WVW917523 D983059:O983059 IZ983059:JK983059 SV983059:TG983059 ACR983059:ADC983059 AMN983059:AMY983059 AWJ983059:AWU983059 BGF983059:BGQ983059 BQB983059:BQM983059 BZX983059:CAI983059 CJT983059:CKE983059 CTP983059:CUA983059 DDL983059:DDW983059 DNH983059:DNS983059 DXD983059:DXO983059 EGZ983059:EHK983059 EQV983059:ERG983059 FAR983059:FBC983059 FKN983059:FKY983059 FUJ983059:FUU983059 GEF983059:GEQ983059 GOB983059:GOM983059 GXX983059:GYI983059 HHT983059:HIE983059 HRP983059:HSA983059 IBL983059:IBW983059 ILH983059:ILS983059 IVD983059:IVO983059 JEZ983059:JFK983059 JOV983059:JPG983059 JYR983059:JZC983059 KIN983059:KIY983059 KSJ983059:KSU983059 LCF983059:LCQ983059 LMB983059:LMM983059 LVX983059:LWI983059 MFT983059:MGE983059 MPP983059:MQA983059 MZL983059:MZW983059 NJH983059:NJS983059 NTD983059:NTO983059 OCZ983059:ODK983059 OMV983059:ONG983059 OWR983059:OXC983059 PGN983059:PGY983059 PQJ983059:PQU983059 QAF983059:QAQ983059 QKB983059:QKM983059 QTX983059:QUI983059 RDT983059:REE983059 RNP983059:ROA983059 RXL983059:RXW983059 SHH983059:SHS983059 SRD983059:SRO983059 TAZ983059:TBK983059 TKV983059:TLG983059 TUR983059:TVC983059 UEN983059:UEY983059 UOJ983059:UOU983059 UYF983059:UYQ983059 VIB983059:VIM983059 VRX983059:VSI983059 WBT983059:WCE983059 WLP983059:WMA983059 WVL983059:WVW983059" xr:uid="{5042922E-D55E-465D-ACF5-A2449FA83AF9}">
      <formula1>$AM$4:$AM$22</formula1>
    </dataValidation>
  </dataValidations>
  <pageMargins left="0.78740157480314965" right="0.59055118110236227" top="0.51181102362204722" bottom="0.27559055118110237" header="0.74803149606299213" footer="0.31496062992125984"/>
  <pageSetup paperSize="9" scale="80" orientation="portrait" blackAndWhite="1" r:id="rId1"/>
  <headerFooter alignWithMargins="0">
    <oddFooter>&amp;L&amp;F&amp;Rver20240329</oddFooter>
  </headerFooter>
  <colBreaks count="1" manualBreakCount="1">
    <brk id="30" max="16383"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36573-360B-4D68-9E19-91E0B327C6E7}">
  <dimension ref="A1:BN50"/>
  <sheetViews>
    <sheetView view="pageBreakPreview" zoomScaleNormal="100" workbookViewId="0"/>
  </sheetViews>
  <sheetFormatPr defaultColWidth="2.625" defaultRowHeight="15" customHeight="1"/>
  <cols>
    <col min="1" max="1" width="2.375" style="499" customWidth="1"/>
    <col min="2" max="2" width="3.25" style="499" customWidth="1"/>
    <col min="3" max="32" width="2.625" style="499" customWidth="1"/>
    <col min="33" max="33" width="2.375" style="499" customWidth="1"/>
    <col min="34" max="34" width="2.625" style="499" customWidth="1"/>
    <col min="35" max="16384" width="2.625" style="499"/>
  </cols>
  <sheetData>
    <row r="1" spans="2:66" ht="12.75">
      <c r="B1" s="504" t="s">
        <v>3104</v>
      </c>
      <c r="C1" s="504"/>
      <c r="AF1" s="515"/>
    </row>
    <row r="2" spans="2:66" ht="12.75">
      <c r="AF2" s="515"/>
    </row>
    <row r="3" spans="2:66" ht="12.75">
      <c r="AF3" s="515"/>
    </row>
    <row r="4" spans="2:66" ht="14.25">
      <c r="B4" s="845" t="s">
        <v>3105</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6"/>
    </row>
    <row r="7" spans="2:66" ht="12.75">
      <c r="C7" s="499" t="s">
        <v>3106</v>
      </c>
      <c r="AF7" s="514"/>
      <c r="AL7" s="847" t="s">
        <v>3107</v>
      </c>
      <c r="AM7" s="847"/>
      <c r="AN7" s="847"/>
      <c r="AO7" s="847"/>
      <c r="AP7" s="847"/>
      <c r="AQ7" s="847"/>
      <c r="AR7" s="847"/>
      <c r="AS7" s="847"/>
      <c r="AT7" s="847"/>
      <c r="AU7" s="847"/>
      <c r="AV7" s="847"/>
      <c r="AW7" s="847"/>
      <c r="AX7" s="847"/>
      <c r="AY7" s="847"/>
      <c r="AZ7" s="847"/>
      <c r="BA7" s="847"/>
      <c r="BB7" s="847"/>
      <c r="BC7" s="847"/>
      <c r="BD7" s="847"/>
      <c r="BE7" s="847"/>
      <c r="BF7" s="847"/>
      <c r="BG7" s="847"/>
      <c r="BH7" s="847"/>
      <c r="BI7" s="848"/>
      <c r="BJ7" s="848"/>
      <c r="BK7" s="848"/>
      <c r="BL7" s="848"/>
      <c r="BM7" s="848"/>
      <c r="BN7" s="848"/>
    </row>
    <row r="8" spans="2:66" ht="12.75">
      <c r="C8" s="499" t="s">
        <v>3108</v>
      </c>
      <c r="AF8" s="514"/>
      <c r="AL8" s="847"/>
      <c r="AM8" s="847"/>
      <c r="AN8" s="847"/>
      <c r="AO8" s="847"/>
      <c r="AP8" s="847"/>
      <c r="AQ8" s="847"/>
      <c r="AR8" s="847"/>
      <c r="AS8" s="847"/>
      <c r="AT8" s="847"/>
      <c r="AU8" s="847"/>
      <c r="AV8" s="847"/>
      <c r="AW8" s="847"/>
      <c r="AX8" s="847"/>
      <c r="AY8" s="847"/>
      <c r="AZ8" s="847"/>
      <c r="BA8" s="847"/>
      <c r="BB8" s="847"/>
      <c r="BC8" s="847"/>
      <c r="BD8" s="847"/>
      <c r="BE8" s="847"/>
      <c r="BF8" s="847"/>
      <c r="BG8" s="847"/>
      <c r="BH8" s="847"/>
      <c r="BI8" s="848"/>
      <c r="BJ8" s="848"/>
      <c r="BK8" s="848"/>
      <c r="BL8" s="848"/>
      <c r="BM8" s="848"/>
      <c r="BN8" s="848"/>
    </row>
    <row r="9" spans="2:66" ht="12.75">
      <c r="AL9" s="847"/>
      <c r="AM9" s="847"/>
      <c r="AN9" s="847"/>
      <c r="AO9" s="847"/>
      <c r="AP9" s="847"/>
      <c r="AQ9" s="847"/>
      <c r="AR9" s="847"/>
      <c r="AS9" s="847"/>
      <c r="AT9" s="847"/>
      <c r="AU9" s="847"/>
      <c r="AV9" s="847"/>
      <c r="AW9" s="847"/>
      <c r="AX9" s="847"/>
      <c r="AY9" s="847"/>
      <c r="AZ9" s="847"/>
      <c r="BA9" s="847"/>
      <c r="BB9" s="847"/>
      <c r="BC9" s="847"/>
      <c r="BD9" s="847"/>
      <c r="BE9" s="847"/>
      <c r="BF9" s="847"/>
      <c r="BG9" s="847"/>
      <c r="BH9" s="847"/>
      <c r="BI9" s="848"/>
      <c r="BJ9" s="848"/>
      <c r="BK9" s="848"/>
      <c r="BL9" s="848"/>
      <c r="BM9" s="848"/>
      <c r="BN9" s="848"/>
    </row>
    <row r="11" spans="2:66" ht="15" customHeight="1">
      <c r="C11" s="513" t="s">
        <v>3109</v>
      </c>
      <c r="E11" s="512"/>
      <c r="F11" s="512"/>
      <c r="G11" s="512"/>
      <c r="H11" s="512"/>
      <c r="I11" s="512"/>
      <c r="M11" s="499" t="s">
        <v>3110</v>
      </c>
    </row>
    <row r="13" spans="2:66" ht="12.75">
      <c r="U13" s="499" t="str">
        <f ca="1">TEXT(TODAY(),"ggg")</f>
        <v>令和</v>
      </c>
      <c r="W13" s="852"/>
      <c r="X13" s="852"/>
      <c r="Y13" s="499" t="s">
        <v>2822</v>
      </c>
      <c r="Z13" s="852"/>
      <c r="AA13" s="852"/>
      <c r="AB13" s="499" t="s">
        <v>2823</v>
      </c>
      <c r="AC13" s="852"/>
      <c r="AD13" s="852"/>
      <c r="AE13" s="499" t="s">
        <v>2824</v>
      </c>
    </row>
    <row r="15" spans="2:66" ht="12.75">
      <c r="L15" s="506" t="s">
        <v>3111</v>
      </c>
      <c r="M15" s="506"/>
      <c r="N15" s="506"/>
      <c r="O15" s="506"/>
      <c r="P15" s="511"/>
      <c r="Q15" s="511"/>
      <c r="R15" s="511"/>
      <c r="S15" s="511"/>
      <c r="T15" s="511"/>
      <c r="U15" s="511"/>
      <c r="V15" s="511"/>
      <c r="W15" s="511"/>
      <c r="X15" s="511"/>
      <c r="Y15" s="511"/>
      <c r="Z15" s="511"/>
      <c r="AA15" s="511"/>
      <c r="AB15" s="511"/>
      <c r="AC15" s="511"/>
      <c r="AD15" s="511"/>
      <c r="AE15" s="511"/>
    </row>
    <row r="16" spans="2:66" ht="12.75">
      <c r="L16" s="853" t="str">
        <f>cst_wskakunin_owner1__space</f>
        <v>猫山　花子</v>
      </c>
      <c r="M16" s="853"/>
      <c r="N16" s="853"/>
      <c r="O16" s="853"/>
      <c r="P16" s="853"/>
      <c r="Q16" s="853"/>
      <c r="R16" s="853"/>
      <c r="S16" s="853"/>
      <c r="T16" s="853"/>
      <c r="U16" s="853"/>
      <c r="V16" s="853"/>
      <c r="W16" s="853"/>
      <c r="X16" s="853"/>
      <c r="Y16" s="853"/>
      <c r="Z16" s="853"/>
      <c r="AA16" s="853"/>
      <c r="AB16" s="853"/>
      <c r="AC16" s="853"/>
      <c r="AD16" s="853"/>
      <c r="AE16" s="853"/>
    </row>
    <row r="17" spans="1:33" ht="12.75">
      <c r="L17" s="853"/>
      <c r="M17" s="853"/>
      <c r="N17" s="853"/>
      <c r="O17" s="853"/>
      <c r="P17" s="853"/>
      <c r="Q17" s="853"/>
      <c r="R17" s="853"/>
      <c r="S17" s="853"/>
      <c r="T17" s="853"/>
      <c r="U17" s="853"/>
      <c r="V17" s="853"/>
      <c r="W17" s="853"/>
      <c r="X17" s="853"/>
      <c r="Y17" s="853"/>
      <c r="Z17" s="853"/>
      <c r="AA17" s="853"/>
      <c r="AB17" s="853"/>
      <c r="AC17" s="853"/>
      <c r="AD17" s="853"/>
      <c r="AE17" s="853"/>
    </row>
    <row r="18" spans="1:33" ht="12.75">
      <c r="H18" s="510"/>
      <c r="I18" s="510"/>
      <c r="J18" s="510"/>
      <c r="K18" s="510"/>
      <c r="L18" s="510" t="s">
        <v>3112</v>
      </c>
      <c r="M18" s="510"/>
    </row>
    <row r="19" spans="1:33" ht="12.75">
      <c r="H19" s="510"/>
      <c r="I19" s="510"/>
      <c r="J19" s="510"/>
      <c r="K19" s="510"/>
      <c r="L19" s="851" t="str">
        <f>cst_wskakunin_owner1__address</f>
        <v>大阪府茨木市山手台2-2-2</v>
      </c>
      <c r="M19" s="851"/>
      <c r="N19" s="851"/>
      <c r="O19" s="851"/>
      <c r="P19" s="851"/>
      <c r="Q19" s="851"/>
      <c r="R19" s="851"/>
      <c r="S19" s="851"/>
      <c r="T19" s="851"/>
      <c r="U19" s="851"/>
      <c r="V19" s="851"/>
      <c r="W19" s="851"/>
      <c r="X19" s="851"/>
      <c r="Y19" s="851"/>
      <c r="Z19" s="851"/>
      <c r="AA19" s="851"/>
      <c r="AB19" s="851"/>
      <c r="AC19" s="851"/>
      <c r="AD19" s="851"/>
      <c r="AE19" s="851"/>
    </row>
    <row r="20" spans="1:33" ht="12.75">
      <c r="H20" s="510"/>
      <c r="I20" s="510"/>
      <c r="J20" s="510"/>
      <c r="K20" s="510"/>
      <c r="L20" s="851"/>
      <c r="M20" s="851"/>
      <c r="N20" s="851"/>
      <c r="O20" s="851"/>
      <c r="P20" s="851"/>
      <c r="Q20" s="851"/>
      <c r="R20" s="851"/>
      <c r="S20" s="851"/>
      <c r="T20" s="851"/>
      <c r="U20" s="851"/>
      <c r="V20" s="851"/>
      <c r="W20" s="851"/>
      <c r="X20" s="851"/>
      <c r="Y20" s="851"/>
      <c r="Z20" s="851"/>
      <c r="AA20" s="851"/>
      <c r="AB20" s="851"/>
      <c r="AC20" s="851"/>
      <c r="AD20" s="851"/>
      <c r="AE20" s="851"/>
    </row>
    <row r="21" spans="1:33" ht="12.75">
      <c r="A21" s="508"/>
      <c r="B21" s="508"/>
      <c r="C21" s="508"/>
      <c r="D21" s="508"/>
      <c r="E21" s="508"/>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8"/>
      <c r="AG21" s="508"/>
    </row>
    <row r="22" spans="1:33" ht="12.75">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row>
    <row r="23" spans="1:33" ht="12.75">
      <c r="A23" s="849" t="s">
        <v>3113</v>
      </c>
      <c r="B23" s="849"/>
      <c r="C23" s="849"/>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row>
    <row r="25" spans="1:33" ht="12.75">
      <c r="B25" s="502" t="s">
        <v>3114</v>
      </c>
      <c r="C25" s="499" t="s">
        <v>3115</v>
      </c>
    </row>
    <row r="26" spans="1:33" ht="12.75">
      <c r="C26" s="850" t="str">
        <f>cst_wskakunin_BUILD__address</f>
        <v>大阪府茨木市山手台2-2-2</v>
      </c>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506"/>
      <c r="AG26" s="506"/>
    </row>
    <row r="27" spans="1:33" ht="12.75">
      <c r="C27" s="850"/>
      <c r="D27" s="850"/>
      <c r="E27" s="850"/>
      <c r="F27" s="850"/>
      <c r="G27" s="850"/>
      <c r="H27" s="850"/>
      <c r="I27" s="850"/>
      <c r="J27" s="850"/>
      <c r="K27" s="850"/>
      <c r="L27" s="850"/>
      <c r="M27" s="850"/>
      <c r="N27" s="850"/>
      <c r="O27" s="850"/>
      <c r="P27" s="850"/>
      <c r="Q27" s="850"/>
      <c r="R27" s="850"/>
      <c r="S27" s="850"/>
      <c r="T27" s="850"/>
      <c r="U27" s="850"/>
      <c r="V27" s="850"/>
      <c r="W27" s="850"/>
      <c r="X27" s="850"/>
      <c r="Y27" s="850"/>
      <c r="Z27" s="850"/>
      <c r="AA27" s="850"/>
      <c r="AB27" s="850"/>
      <c r="AC27" s="850"/>
      <c r="AD27" s="850"/>
      <c r="AE27" s="850"/>
      <c r="AF27" s="506"/>
      <c r="AG27" s="506"/>
    </row>
    <row r="29" spans="1:33" ht="13.5">
      <c r="B29" s="502" t="s">
        <v>3116</v>
      </c>
      <c r="C29" s="499" t="s">
        <v>2832</v>
      </c>
      <c r="D29" s="6"/>
      <c r="E29" s="6"/>
      <c r="F29" s="6"/>
      <c r="G29" s="6"/>
      <c r="H29" s="6"/>
      <c r="I29" s="6"/>
      <c r="J29" s="6"/>
      <c r="K29" s="6"/>
      <c r="L29" s="6"/>
      <c r="M29" s="505" t="str">
        <f ca="1">TEXT(TODAY(),"ggg")</f>
        <v>令和</v>
      </c>
      <c r="N29" s="505"/>
      <c r="O29" s="854">
        <f ca="1">cst_shinsei_KAKUNIN_KOUFU_DATE</f>
        <v>45363</v>
      </c>
      <c r="P29" s="854"/>
      <c r="Q29" s="505" t="s">
        <v>2822</v>
      </c>
      <c r="R29" s="855">
        <f ca="1">cst_shinsei_KAKUNIN_KOUFU_DATE</f>
        <v>45363</v>
      </c>
      <c r="S29" s="855"/>
      <c r="T29" s="505" t="s">
        <v>2823</v>
      </c>
      <c r="U29" s="856">
        <f ca="1">cst_shinsei_KAKUNIN_KOUFU_DATE</f>
        <v>45363</v>
      </c>
      <c r="V29" s="856"/>
      <c r="W29" s="505" t="s">
        <v>2824</v>
      </c>
      <c r="X29" s="505"/>
      <c r="Y29" s="505"/>
      <c r="Z29" s="505"/>
      <c r="AA29" s="6"/>
      <c r="AB29" s="6"/>
      <c r="AC29" s="6"/>
      <c r="AD29" s="6"/>
    </row>
    <row r="31" spans="1:33" ht="12.75">
      <c r="B31" s="502" t="s">
        <v>3117</v>
      </c>
      <c r="C31" s="499" t="s">
        <v>106</v>
      </c>
      <c r="M31" s="858" t="s">
        <v>3118</v>
      </c>
      <c r="N31" s="858"/>
      <c r="O31" s="859" t="str">
        <f ca="1">MID(cst_shinsei_KAKUNIN_ISSUE_NO,2,2)</f>
        <v>05</v>
      </c>
      <c r="P31" s="859"/>
      <c r="Q31" s="860" t="str">
        <f ca="1">MID(cst_shinsei_KAKUNIN_ISSUE_NO,4,2)</f>
        <v>確認</v>
      </c>
      <c r="R31" s="860"/>
      <c r="S31" s="860" t="str">
        <f ca="1">MID(cst_shinsei_KAKUNIN_ISSUE_NO,6,6)</f>
        <v>建築IPEC</v>
      </c>
      <c r="T31" s="860"/>
      <c r="U31" s="860"/>
      <c r="V31" s="860"/>
      <c r="W31" s="857" t="str">
        <f ca="1">RIGHT(cst_shinsei_KAKUNIN_ISSUE_NO,5)</f>
        <v>70003</v>
      </c>
      <c r="X31" s="857"/>
      <c r="Y31" s="857"/>
      <c r="Z31" s="503" t="s">
        <v>2762</v>
      </c>
      <c r="AA31" s="503"/>
    </row>
    <row r="33" spans="2:31" ht="12.75">
      <c r="B33" s="502" t="s">
        <v>3119</v>
      </c>
      <c r="C33" s="499" t="s">
        <v>39</v>
      </c>
    </row>
    <row r="35" spans="2:31" ht="12.75">
      <c r="C35" s="659"/>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row>
    <row r="36" spans="2:31" ht="12.75">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row>
    <row r="37" spans="2:31" ht="12.75">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E37" s="659"/>
    </row>
    <row r="38" spans="2:31" ht="12.75">
      <c r="C38" s="659"/>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row>
    <row r="39" spans="2:31" ht="12.75">
      <c r="B39" s="502"/>
      <c r="C39" s="659"/>
      <c r="D39" s="659"/>
      <c r="E39" s="659"/>
      <c r="F39" s="659"/>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row>
    <row r="40" spans="2:31" ht="12.75">
      <c r="B40" s="502"/>
      <c r="C40" s="659"/>
      <c r="D40" s="659"/>
      <c r="E40" s="659"/>
      <c r="F40" s="659"/>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row>
    <row r="41" spans="2:31" ht="12.75">
      <c r="B41" s="502"/>
    </row>
    <row r="42" spans="2:31" ht="12.75">
      <c r="B42" s="502" t="s">
        <v>3120</v>
      </c>
      <c r="C42" s="499" t="s">
        <v>3121</v>
      </c>
    </row>
    <row r="44" spans="2:31" ht="12.75">
      <c r="B44" s="500"/>
      <c r="C44" s="659"/>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row>
    <row r="45" spans="2:31" ht="12.75">
      <c r="C45" s="660"/>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row>
    <row r="46" spans="2:31" ht="12.75">
      <c r="C46" s="6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row>
    <row r="48" spans="2:31" ht="12.75">
      <c r="B48" s="500" t="s">
        <v>3099</v>
      </c>
      <c r="C48" s="501" t="s">
        <v>3122</v>
      </c>
      <c r="D48" s="500" t="s">
        <v>3123</v>
      </c>
    </row>
    <row r="49" spans="2:4" ht="12.75">
      <c r="B49" s="502"/>
      <c r="C49" s="501" t="s">
        <v>3124</v>
      </c>
      <c r="D49" s="500" t="s">
        <v>3125</v>
      </c>
    </row>
    <row r="50" spans="2:4" ht="12.75">
      <c r="B50" s="500"/>
      <c r="C50" s="501" t="s">
        <v>3126</v>
      </c>
      <c r="D50" s="500" t="s">
        <v>3127</v>
      </c>
    </row>
  </sheetData>
  <mergeCells count="17">
    <mergeCell ref="O29:P29"/>
    <mergeCell ref="R29:S29"/>
    <mergeCell ref="U29:V29"/>
    <mergeCell ref="W31:Y31"/>
    <mergeCell ref="M31:N31"/>
    <mergeCell ref="O31:P31"/>
    <mergeCell ref="Q31:R31"/>
    <mergeCell ref="S31:V31"/>
    <mergeCell ref="B4:AF4"/>
    <mergeCell ref="AL7:BN9"/>
    <mergeCell ref="A23:AG23"/>
    <mergeCell ref="C26:AE27"/>
    <mergeCell ref="L19:AE20"/>
    <mergeCell ref="AC13:AD13"/>
    <mergeCell ref="Z13:AA13"/>
    <mergeCell ref="W13:X13"/>
    <mergeCell ref="L16:AE17"/>
  </mergeCells>
  <phoneticPr fontId="7"/>
  <dataValidations count="2">
    <dataValidation type="list" allowBlank="1" showInputMessage="1" sqref="S31:V31" xr:uid="{00000000-0002-0000-0000-000001000000}">
      <formula1>"　,建築ＩＰＥＣ,昇降ＩＰＥＣ,工作ＩＰＥＣ,設備ＩＰＥＣ"</formula1>
    </dataValidation>
    <dataValidation type="list" allowBlank="1" showInputMessage="1" sqref="Q31:R31" xr:uid="{00000000-0002-0000-0000-000000000000}">
      <formula1>"　 ,確認,確更"</formula1>
    </dataValidation>
  </dataValidations>
  <pageMargins left="0.78740157480314965" right="0.70866141732283472" top="0.98425196850393704" bottom="0.78740157480314965" header="0.51181102362204722" footer="0.19685039370078741"/>
  <pageSetup paperSize="9" orientation="portrait" blackAndWhite="1" horizontalDpi="4294967293" verticalDpi="300" r:id="rId1"/>
  <headerFooter alignWithMargins="0">
    <oddFooter>&amp;L&amp;8&amp;F&amp;R&amp;8 070620</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CAB1A-06CE-4FCD-AD23-D60CA37AF706}">
  <dimension ref="A1:AQ51"/>
  <sheetViews>
    <sheetView view="pageBreakPreview" zoomScaleNormal="100" zoomScaleSheetLayoutView="100" zoomScalePageLayoutView="70" workbookViewId="0"/>
  </sheetViews>
  <sheetFormatPr defaultColWidth="2.375" defaultRowHeight="13.5"/>
  <cols>
    <col min="1" max="1" width="2.375" style="516" customWidth="1"/>
    <col min="2" max="3" width="2.75" style="516" bestFit="1" customWidth="1"/>
    <col min="4" max="4" width="2.375" style="516" customWidth="1"/>
    <col min="5" max="16384" width="2.375" style="516"/>
  </cols>
  <sheetData>
    <row r="1" spans="1:37">
      <c r="A1" s="516" t="s">
        <v>3128</v>
      </c>
    </row>
    <row r="2" spans="1:37" ht="14.25">
      <c r="A2" s="861" t="s">
        <v>3129</v>
      </c>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row>
    <row r="5" spans="1:37">
      <c r="B5" s="527" t="s">
        <v>3130</v>
      </c>
    </row>
    <row r="8" spans="1:37">
      <c r="B8" s="516" t="s">
        <v>3131</v>
      </c>
      <c r="J8" s="516" t="s">
        <v>3110</v>
      </c>
    </row>
    <row r="10" spans="1:37">
      <c r="Y10" s="499" t="str">
        <f ca="1">TEXT(TODAY(),"ggg")</f>
        <v>令和</v>
      </c>
      <c r="Z10" s="499"/>
      <c r="AA10" s="852"/>
      <c r="AB10" s="852"/>
      <c r="AC10" s="499" t="s">
        <v>2822</v>
      </c>
      <c r="AD10" s="852"/>
      <c r="AE10" s="852"/>
      <c r="AF10" s="499" t="s">
        <v>2823</v>
      </c>
      <c r="AG10" s="852"/>
      <c r="AH10" s="852"/>
      <c r="AI10" s="499" t="s">
        <v>2824</v>
      </c>
    </row>
    <row r="12" spans="1:37">
      <c r="T12" s="516" t="s">
        <v>3132</v>
      </c>
    </row>
    <row r="13" spans="1:37">
      <c r="T13" s="862" t="str">
        <f>cst_wskakunin_owner1_NAME</f>
        <v>猫山　花子</v>
      </c>
      <c r="U13" s="862"/>
      <c r="V13" s="862"/>
      <c r="W13" s="862"/>
      <c r="X13" s="862"/>
      <c r="Y13" s="862"/>
      <c r="Z13" s="862"/>
      <c r="AA13" s="862"/>
      <c r="AB13" s="862"/>
      <c r="AC13" s="862"/>
      <c r="AD13" s="862"/>
      <c r="AE13" s="862"/>
      <c r="AF13" s="862"/>
      <c r="AG13" s="862"/>
      <c r="AH13" s="862"/>
      <c r="AI13" s="862"/>
      <c r="AJ13" s="862"/>
    </row>
    <row r="14" spans="1:37">
      <c r="T14" s="862"/>
      <c r="U14" s="862"/>
      <c r="V14" s="862"/>
      <c r="W14" s="862"/>
      <c r="X14" s="862"/>
      <c r="Y14" s="862"/>
      <c r="Z14" s="862"/>
      <c r="AA14" s="862"/>
      <c r="AB14" s="862"/>
      <c r="AC14" s="862"/>
      <c r="AD14" s="862"/>
      <c r="AE14" s="862"/>
      <c r="AF14" s="862"/>
      <c r="AG14" s="862"/>
      <c r="AH14" s="862"/>
      <c r="AI14" s="862"/>
      <c r="AJ14" s="862"/>
    </row>
    <row r="16" spans="1:37">
      <c r="T16" s="516" t="s">
        <v>3133</v>
      </c>
    </row>
    <row r="17" spans="1:37">
      <c r="T17" s="862" t="str">
        <f>cst_wskakunin_owner1__address</f>
        <v>大阪府茨木市山手台2-2-2</v>
      </c>
      <c r="U17" s="862"/>
      <c r="V17" s="862"/>
      <c r="W17" s="862"/>
      <c r="X17" s="862"/>
      <c r="Y17" s="862"/>
      <c r="Z17" s="862"/>
      <c r="AA17" s="862"/>
      <c r="AB17" s="862"/>
      <c r="AC17" s="862"/>
      <c r="AD17" s="862"/>
      <c r="AE17" s="862"/>
      <c r="AF17" s="862"/>
      <c r="AG17" s="862"/>
      <c r="AH17" s="862"/>
      <c r="AI17" s="862"/>
      <c r="AJ17" s="862"/>
    </row>
    <row r="18" spans="1:37">
      <c r="T18" s="862"/>
      <c r="U18" s="862"/>
      <c r="V18" s="862"/>
      <c r="W18" s="862"/>
      <c r="X18" s="862"/>
      <c r="Y18" s="862"/>
      <c r="Z18" s="862"/>
      <c r="AA18" s="862"/>
      <c r="AB18" s="862"/>
      <c r="AC18" s="862"/>
      <c r="AD18" s="862"/>
      <c r="AE18" s="862"/>
      <c r="AF18" s="862"/>
      <c r="AG18" s="862"/>
      <c r="AH18" s="862"/>
      <c r="AI18" s="862"/>
      <c r="AJ18" s="862"/>
    </row>
    <row r="20" spans="1:37">
      <c r="A20" s="523"/>
      <c r="B20" s="523"/>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row>
    <row r="21" spans="1:37">
      <c r="S21" s="516" t="s">
        <v>3113</v>
      </c>
    </row>
    <row r="23" spans="1:37">
      <c r="A23" s="524" t="s">
        <v>3134</v>
      </c>
      <c r="B23" s="523"/>
      <c r="C23" s="523"/>
      <c r="D23" s="523"/>
      <c r="E23" s="523"/>
      <c r="F23" s="523"/>
      <c r="G23" s="523"/>
      <c r="H23" s="523"/>
      <c r="I23" s="523"/>
      <c r="J23" s="523"/>
      <c r="K23" s="524" t="s">
        <v>3135</v>
      </c>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2"/>
    </row>
    <row r="24" spans="1:37">
      <c r="A24" s="521"/>
      <c r="K24" s="521"/>
      <c r="L24" s="862" t="str">
        <f>cst_wskakunin_owner1__address</f>
        <v>大阪府茨木市山手台2-2-2</v>
      </c>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520"/>
    </row>
    <row r="25" spans="1:37">
      <c r="A25" s="521"/>
      <c r="K25" s="521"/>
      <c r="L25" s="863"/>
      <c r="M25" s="863"/>
      <c r="N25" s="863"/>
      <c r="O25" s="863"/>
      <c r="P25" s="863"/>
      <c r="Q25" s="863"/>
      <c r="R25" s="863"/>
      <c r="S25" s="863"/>
      <c r="T25" s="863"/>
      <c r="U25" s="863"/>
      <c r="V25" s="863"/>
      <c r="W25" s="863"/>
      <c r="X25" s="863"/>
      <c r="Y25" s="863"/>
      <c r="Z25" s="863"/>
      <c r="AA25" s="863"/>
      <c r="AB25" s="863"/>
      <c r="AC25" s="863"/>
      <c r="AD25" s="863"/>
      <c r="AE25" s="863"/>
      <c r="AF25" s="863"/>
      <c r="AG25" s="863"/>
      <c r="AH25" s="863"/>
      <c r="AI25" s="863"/>
      <c r="AJ25" s="863"/>
      <c r="AK25" s="520"/>
    </row>
    <row r="26" spans="1:37">
      <c r="A26" s="521"/>
      <c r="K26" s="524" t="s">
        <v>3136</v>
      </c>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2"/>
    </row>
    <row r="27" spans="1:37">
      <c r="A27" s="521"/>
      <c r="K27" s="521"/>
      <c r="L27" s="862" t="str">
        <f>cst_wskakunin_owner1__space</f>
        <v>猫山　花子</v>
      </c>
      <c r="M27" s="862"/>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520"/>
    </row>
    <row r="28" spans="1:37">
      <c r="A28" s="519"/>
      <c r="B28" s="518"/>
      <c r="C28" s="518"/>
      <c r="D28" s="518"/>
      <c r="E28" s="518"/>
      <c r="F28" s="518"/>
      <c r="G28" s="518"/>
      <c r="H28" s="518"/>
      <c r="I28" s="518"/>
      <c r="J28" s="518"/>
      <c r="K28" s="519"/>
      <c r="L28" s="863"/>
      <c r="M28" s="863"/>
      <c r="N28" s="863"/>
      <c r="O28" s="863"/>
      <c r="P28" s="863"/>
      <c r="Q28" s="863"/>
      <c r="R28" s="863"/>
      <c r="S28" s="863"/>
      <c r="T28" s="863"/>
      <c r="U28" s="863"/>
      <c r="V28" s="863"/>
      <c r="W28" s="863"/>
      <c r="X28" s="863"/>
      <c r="Y28" s="863"/>
      <c r="Z28" s="863"/>
      <c r="AA28" s="863"/>
      <c r="AB28" s="863"/>
      <c r="AC28" s="863"/>
      <c r="AD28" s="863"/>
      <c r="AE28" s="863"/>
      <c r="AF28" s="863"/>
      <c r="AG28" s="863"/>
      <c r="AH28" s="863"/>
      <c r="AI28" s="863"/>
      <c r="AJ28" s="863"/>
      <c r="AK28" s="517"/>
    </row>
    <row r="29" spans="1:37">
      <c r="A29" s="524" t="s">
        <v>3137</v>
      </c>
      <c r="B29" s="523"/>
      <c r="C29" s="523"/>
      <c r="D29" s="523"/>
      <c r="E29" s="523"/>
      <c r="F29" s="523"/>
      <c r="G29" s="523"/>
      <c r="H29" s="523"/>
      <c r="I29" s="523"/>
      <c r="J29" s="523"/>
      <c r="K29" s="524"/>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2"/>
    </row>
    <row r="30" spans="1:37">
      <c r="A30" s="521" t="s">
        <v>3138</v>
      </c>
      <c r="F30" s="516" t="s">
        <v>3139</v>
      </c>
      <c r="K30" s="521"/>
      <c r="L30" s="862" t="str">
        <f>cst_wskakunin_BUILD__address</f>
        <v>大阪府茨木市山手台2-2-2</v>
      </c>
      <c r="M30" s="862"/>
      <c r="N30" s="862"/>
      <c r="O30" s="862"/>
      <c r="P30" s="862"/>
      <c r="Q30" s="862"/>
      <c r="R30" s="862"/>
      <c r="S30" s="862"/>
      <c r="T30" s="862"/>
      <c r="U30" s="862"/>
      <c r="V30" s="862"/>
      <c r="W30" s="862"/>
      <c r="X30" s="862"/>
      <c r="Y30" s="862"/>
      <c r="Z30" s="862"/>
      <c r="AA30" s="862"/>
      <c r="AB30" s="862"/>
      <c r="AC30" s="862"/>
      <c r="AD30" s="862"/>
      <c r="AE30" s="862"/>
      <c r="AF30" s="862"/>
      <c r="AG30" s="862"/>
      <c r="AH30" s="862"/>
      <c r="AI30" s="862"/>
      <c r="AJ30" s="862"/>
      <c r="AK30" s="520"/>
    </row>
    <row r="31" spans="1:37">
      <c r="A31" s="519" t="s">
        <v>3140</v>
      </c>
      <c r="B31" s="518"/>
      <c r="C31" s="518"/>
      <c r="D31" s="518"/>
      <c r="E31" s="518"/>
      <c r="F31" s="518"/>
      <c r="G31" s="518"/>
      <c r="H31" s="518"/>
      <c r="I31" s="518"/>
      <c r="J31" s="518"/>
      <c r="K31" s="519"/>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7"/>
    </row>
    <row r="32" spans="1:37">
      <c r="A32" s="524" t="s">
        <v>3141</v>
      </c>
      <c r="B32" s="523"/>
      <c r="C32" s="523"/>
      <c r="D32" s="523"/>
      <c r="E32" s="523"/>
      <c r="F32" s="523"/>
      <c r="G32" s="523"/>
      <c r="H32" s="523"/>
      <c r="I32" s="523"/>
      <c r="J32" s="523"/>
      <c r="K32" s="524"/>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2"/>
    </row>
    <row r="33" spans="1:43">
      <c r="A33" s="521" t="s">
        <v>3142</v>
      </c>
      <c r="K33" s="521"/>
      <c r="L33" s="526"/>
      <c r="M33" s="526"/>
      <c r="R33" s="858" t="s">
        <v>3118</v>
      </c>
      <c r="S33" s="858"/>
      <c r="T33" s="859" t="str">
        <f ca="1">MID(cst_shinsei_KAKUNIN_ISSUE_NO,2,2)</f>
        <v>05</v>
      </c>
      <c r="U33" s="859"/>
      <c r="V33" s="860" t="str">
        <f ca="1">MID(cst_shinsei_KAKUNIN_ISSUE_NO,4,2)</f>
        <v>確認</v>
      </c>
      <c r="W33" s="860"/>
      <c r="X33" s="860" t="str">
        <f ca="1">MID(cst_shinsei_KAKUNIN_ISSUE_NO,6,6)</f>
        <v>建築IPEC</v>
      </c>
      <c r="Y33" s="860"/>
      <c r="Z33" s="860"/>
      <c r="AA33" s="860"/>
      <c r="AB33" s="857" t="str">
        <f ca="1">RIGHT(cst_shinsei_KAKUNIN_ISSUE_NO,5)</f>
        <v>70003</v>
      </c>
      <c r="AC33" s="857"/>
      <c r="AD33" s="857"/>
      <c r="AE33" s="503" t="s">
        <v>2762</v>
      </c>
      <c r="AK33" s="520"/>
      <c r="AQ33" s="525" t="s">
        <v>3078</v>
      </c>
    </row>
    <row r="34" spans="1:43">
      <c r="A34" s="519"/>
      <c r="B34" s="518"/>
      <c r="C34" s="518"/>
      <c r="D34" s="518"/>
      <c r="E34" s="518"/>
      <c r="F34" s="518"/>
      <c r="G34" s="518"/>
      <c r="H34" s="518"/>
      <c r="I34" s="518"/>
      <c r="J34" s="518"/>
      <c r="K34" s="519"/>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7"/>
      <c r="AQ34" s="525" t="s">
        <v>3079</v>
      </c>
    </row>
    <row r="35" spans="1:43">
      <c r="A35" s="524" t="s">
        <v>3143</v>
      </c>
      <c r="B35" s="523"/>
      <c r="C35" s="523"/>
      <c r="D35" s="523"/>
      <c r="E35" s="523"/>
      <c r="F35" s="523"/>
      <c r="G35" s="523"/>
      <c r="H35" s="523"/>
      <c r="I35" s="523"/>
      <c r="J35" s="523"/>
      <c r="K35" s="524" t="s">
        <v>3144</v>
      </c>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2"/>
      <c r="AQ35" s="525" t="s">
        <v>3081</v>
      </c>
    </row>
    <row r="36" spans="1:43">
      <c r="A36" s="521"/>
      <c r="K36" s="52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520"/>
      <c r="AQ36" s="525" t="s">
        <v>3082</v>
      </c>
    </row>
    <row r="37" spans="1:43">
      <c r="A37" s="521"/>
      <c r="K37" s="521"/>
      <c r="AK37" s="520"/>
      <c r="AQ37" s="525" t="s">
        <v>3083</v>
      </c>
    </row>
    <row r="38" spans="1:43">
      <c r="A38" s="521"/>
      <c r="K38" s="524" t="s">
        <v>3145</v>
      </c>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2"/>
      <c r="AQ38" s="525" t="s">
        <v>3086</v>
      </c>
    </row>
    <row r="39" spans="1:43">
      <c r="A39" s="521"/>
      <c r="K39" s="52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520"/>
    </row>
    <row r="40" spans="1:43">
      <c r="A40" s="519"/>
      <c r="B40" s="518"/>
      <c r="C40" s="518"/>
      <c r="D40" s="518"/>
      <c r="E40" s="518"/>
      <c r="F40" s="518"/>
      <c r="G40" s="518"/>
      <c r="H40" s="518"/>
      <c r="I40" s="518"/>
      <c r="J40" s="518"/>
      <c r="K40" s="519"/>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7"/>
    </row>
    <row r="41" spans="1:43">
      <c r="A41" s="524" t="s">
        <v>3146</v>
      </c>
      <c r="B41" s="523"/>
      <c r="C41" s="523"/>
      <c r="D41" s="523"/>
      <c r="E41" s="523"/>
      <c r="F41" s="523"/>
      <c r="G41" s="523"/>
      <c r="H41" s="523"/>
      <c r="I41" s="523"/>
      <c r="J41" s="523"/>
      <c r="K41" s="524"/>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2"/>
    </row>
    <row r="42" spans="1:43">
      <c r="A42" s="521"/>
      <c r="K42" s="521"/>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520"/>
    </row>
    <row r="43" spans="1:43">
      <c r="A43" s="521"/>
      <c r="K43" s="52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520"/>
    </row>
    <row r="44" spans="1:43">
      <c r="A44" s="519"/>
      <c r="B44" s="518"/>
      <c r="C44" s="518"/>
      <c r="D44" s="518"/>
      <c r="E44" s="518"/>
      <c r="F44" s="518"/>
      <c r="G44" s="518"/>
      <c r="H44" s="518"/>
      <c r="I44" s="518"/>
      <c r="J44" s="518"/>
      <c r="K44" s="519"/>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7"/>
    </row>
    <row r="46" spans="1:43">
      <c r="B46" s="516" t="s">
        <v>3099</v>
      </c>
      <c r="C46" s="516">
        <v>1</v>
      </c>
      <c r="D46" s="516" t="s">
        <v>3147</v>
      </c>
    </row>
    <row r="48" spans="1:43">
      <c r="C48" s="516">
        <v>2</v>
      </c>
      <c r="D48" s="516" t="s">
        <v>3148</v>
      </c>
    </row>
    <row r="50" spans="3:4">
      <c r="C50" s="516">
        <v>3</v>
      </c>
      <c r="D50" s="516" t="s">
        <v>3149</v>
      </c>
    </row>
    <row r="51" spans="3:4">
      <c r="D51" s="516" t="s">
        <v>3150</v>
      </c>
    </row>
  </sheetData>
  <mergeCells count="14">
    <mergeCell ref="L24:AJ25"/>
    <mergeCell ref="L27:AJ28"/>
    <mergeCell ref="L30:AJ30"/>
    <mergeCell ref="R33:S33"/>
    <mergeCell ref="T33:U33"/>
    <mergeCell ref="V33:W33"/>
    <mergeCell ref="X33:AA33"/>
    <mergeCell ref="AB33:AD33"/>
    <mergeCell ref="A2:AK2"/>
    <mergeCell ref="T17:AJ18"/>
    <mergeCell ref="T13:AJ14"/>
    <mergeCell ref="AA10:AB10"/>
    <mergeCell ref="AD10:AE10"/>
    <mergeCell ref="AG10:AH10"/>
  </mergeCells>
  <phoneticPr fontId="7"/>
  <dataValidations count="2">
    <dataValidation type="list" allowBlank="1" showInputMessage="1" sqref="V33:W33" xr:uid="{E3EF8193-D381-4288-8402-525FAEE58A70}">
      <formula1>"　 ,確認,確更"</formula1>
    </dataValidation>
    <dataValidation type="list" allowBlank="1" showInputMessage="1" sqref="X33:AA33" xr:uid="{C4DD07BB-9739-44B1-A76D-30587B4CEC51}">
      <formula1>"　,建築ＩＰＥＣ,昇降ＩＰＥＣ,工作ＩＰＥＣ,設備ＩＰＥＣ"</formula1>
    </dataValidation>
  </dataValidations>
  <pageMargins left="0.70866141732283472" right="0.70866141732283472" top="0.74803149606299213" bottom="0.74803149606299213" header="0.31496062992125984" footer="0.31496062992125984"/>
  <pageSetup paperSize="9" orientation="portrait" blackAndWhite="1" horizontalDpi="300" verticalDpi="300" r:id="rId1"/>
  <headerFooter>
    <oddFooter>&amp;L&amp;9ＩＰＥＣ－12　誤記訂正</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57DA8-4BBB-446B-8160-4476D1913802}">
  <sheetPr>
    <tabColor theme="8"/>
  </sheetPr>
  <dimension ref="A1:AN67"/>
  <sheetViews>
    <sheetView workbookViewId="0"/>
  </sheetViews>
  <sheetFormatPr defaultColWidth="2.625" defaultRowHeight="15" customHeight="1"/>
  <cols>
    <col min="1" max="6" width="2.625" style="528" customWidth="1"/>
    <col min="7" max="32" width="2.875" style="528" customWidth="1"/>
    <col min="33" max="33" width="2.625" style="528" customWidth="1"/>
    <col min="34" max="16384" width="2.625" style="528"/>
  </cols>
  <sheetData>
    <row r="1" spans="1:34" ht="6" customHeight="1"/>
    <row r="2" spans="1:34" ht="15.95" customHeight="1">
      <c r="B2" s="864" t="s">
        <v>3151</v>
      </c>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H2" s="570" t="s">
        <v>3152</v>
      </c>
    </row>
    <row r="3" spans="1:34" ht="14.2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H3" s="570"/>
    </row>
    <row r="4" spans="1:34" ht="12" customHeight="1">
      <c r="B4" s="574" t="s">
        <v>3153</v>
      </c>
      <c r="C4" s="573"/>
      <c r="D4" s="573"/>
      <c r="E4" s="573"/>
      <c r="F4" s="573"/>
      <c r="G4" s="573"/>
      <c r="H4" s="572"/>
      <c r="I4" s="570"/>
    </row>
    <row r="5" spans="1:34" ht="12" customHeight="1">
      <c r="B5" s="573"/>
      <c r="C5" s="573"/>
      <c r="D5" s="573"/>
      <c r="E5" s="573"/>
      <c r="F5" s="573"/>
      <c r="G5" s="573"/>
      <c r="H5" s="572"/>
      <c r="I5" s="570"/>
      <c r="V5" s="570"/>
      <c r="Y5" s="570" t="s">
        <v>3098</v>
      </c>
      <c r="Z5" s="571"/>
      <c r="AA5" s="658"/>
      <c r="AB5" s="570" t="s">
        <v>2822</v>
      </c>
      <c r="AC5" s="658"/>
      <c r="AD5" s="570" t="s">
        <v>2823</v>
      </c>
      <c r="AE5" s="658"/>
      <c r="AF5" s="570" t="s">
        <v>2824</v>
      </c>
    </row>
    <row r="6" spans="1:34" s="560" customFormat="1" ht="17.25">
      <c r="B6" s="569" t="s">
        <v>3109</v>
      </c>
      <c r="E6" s="568"/>
      <c r="F6" s="568"/>
      <c r="G6" s="568"/>
      <c r="H6" s="568"/>
      <c r="I6" s="568"/>
      <c r="J6" s="560" t="s">
        <v>3110</v>
      </c>
    </row>
    <row r="7" spans="1:34" s="560" customFormat="1" ht="12" customHeight="1">
      <c r="N7" s="567"/>
      <c r="R7" s="567" t="s">
        <v>3111</v>
      </c>
      <c r="S7" s="567"/>
      <c r="T7" s="567"/>
      <c r="U7" s="567"/>
      <c r="V7" s="567"/>
      <c r="W7" s="567"/>
      <c r="X7" s="567"/>
      <c r="Y7" s="567"/>
      <c r="Z7" s="567"/>
      <c r="AA7" s="567"/>
      <c r="AB7" s="567"/>
      <c r="AC7" s="567"/>
      <c r="AD7" s="567"/>
      <c r="AE7" s="567"/>
      <c r="AF7" s="563"/>
    </row>
    <row r="8" spans="1:34" s="563" customFormat="1" ht="12" customHeight="1">
      <c r="N8" s="567"/>
      <c r="Q8" s="567"/>
      <c r="R8" s="948" t="str">
        <f>cst_wskakunin_owner1_NAME</f>
        <v>猫山　花子</v>
      </c>
      <c r="S8" s="948"/>
      <c r="T8" s="948"/>
      <c r="U8" s="948"/>
      <c r="V8" s="948"/>
      <c r="W8" s="948"/>
      <c r="X8" s="948"/>
      <c r="Y8" s="948"/>
      <c r="Z8" s="948"/>
      <c r="AA8" s="948"/>
      <c r="AB8" s="948"/>
      <c r="AC8" s="948"/>
      <c r="AD8" s="948"/>
      <c r="AE8" s="948"/>
    </row>
    <row r="9" spans="1:34" s="563" customFormat="1" ht="12" customHeight="1">
      <c r="R9" s="948"/>
      <c r="S9" s="948"/>
      <c r="T9" s="948"/>
      <c r="U9" s="948"/>
      <c r="V9" s="948"/>
      <c r="W9" s="948"/>
      <c r="X9" s="948"/>
      <c r="Y9" s="948"/>
      <c r="Z9" s="948"/>
      <c r="AA9" s="948"/>
      <c r="AB9" s="948"/>
      <c r="AC9" s="948"/>
      <c r="AD9" s="948"/>
      <c r="AE9" s="948"/>
    </row>
    <row r="10" spans="1:34" s="563" customFormat="1" ht="12" customHeight="1">
      <c r="N10" s="567"/>
      <c r="Q10" s="567"/>
      <c r="R10" s="567" t="s">
        <v>3112</v>
      </c>
      <c r="S10" s="567"/>
      <c r="T10" s="567"/>
      <c r="U10" s="567"/>
      <c r="V10" s="567"/>
      <c r="W10" s="567"/>
      <c r="X10" s="567"/>
      <c r="Y10" s="567"/>
      <c r="Z10" s="567"/>
      <c r="AA10" s="567"/>
      <c r="AB10" s="567"/>
      <c r="AC10" s="567"/>
      <c r="AD10" s="567"/>
      <c r="AE10" s="567"/>
    </row>
    <row r="11" spans="1:34" s="563" customFormat="1" ht="12" customHeight="1">
      <c r="M11" s="567"/>
      <c r="N11" s="567"/>
      <c r="O11" s="567"/>
      <c r="P11" s="567"/>
      <c r="Q11" s="567"/>
      <c r="R11" s="890" t="str">
        <f>cst_wskakunin_owner1__address</f>
        <v>大阪府茨木市山手台2-2-2</v>
      </c>
      <c r="S11" s="890"/>
      <c r="T11" s="890"/>
      <c r="U11" s="890"/>
      <c r="V11" s="890"/>
      <c r="W11" s="890"/>
      <c r="X11" s="890"/>
      <c r="Y11" s="890"/>
      <c r="Z11" s="890"/>
      <c r="AA11" s="890"/>
      <c r="AB11" s="890"/>
      <c r="AC11" s="890"/>
      <c r="AD11" s="890"/>
      <c r="AE11" s="890"/>
    </row>
    <row r="12" spans="1:34" s="563" customFormat="1" ht="12" customHeight="1">
      <c r="M12" s="567"/>
      <c r="N12" s="567"/>
      <c r="O12" s="567"/>
      <c r="P12" s="567"/>
      <c r="Q12" s="567"/>
      <c r="R12" s="890"/>
      <c r="S12" s="890"/>
      <c r="T12" s="890"/>
      <c r="U12" s="890"/>
      <c r="V12" s="890"/>
      <c r="W12" s="890"/>
      <c r="X12" s="890"/>
      <c r="Y12" s="890"/>
      <c r="Z12" s="890"/>
      <c r="AA12" s="890"/>
      <c r="AB12" s="890"/>
      <c r="AC12" s="890"/>
      <c r="AD12" s="890"/>
      <c r="AE12" s="890"/>
    </row>
    <row r="13" spans="1:34" s="563" customFormat="1" ht="4.5" customHeight="1">
      <c r="M13" s="567"/>
      <c r="N13" s="567"/>
      <c r="O13" s="567"/>
      <c r="P13" s="567"/>
      <c r="AE13" s="566"/>
      <c r="AF13" s="566"/>
    </row>
    <row r="14" spans="1:34" s="563" customFormat="1" ht="12.95" customHeight="1">
      <c r="B14" s="962" t="s">
        <v>3154</v>
      </c>
      <c r="C14" s="962"/>
      <c r="D14" s="962"/>
      <c r="E14" s="962"/>
      <c r="F14" s="962"/>
      <c r="G14" s="962"/>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row>
    <row r="15" spans="1:34" s="563" customFormat="1" ht="12" customHeight="1">
      <c r="A15" s="564"/>
      <c r="B15" s="564" t="s">
        <v>3155</v>
      </c>
    </row>
    <row r="16" spans="1:34" s="563" customFormat="1" ht="12" customHeight="1">
      <c r="A16" s="564"/>
      <c r="B16" s="564"/>
      <c r="C16" s="866" t="str">
        <f>cst_wskakunin_BUILD__address</f>
        <v>大阪府茨木市山手台2-2-2</v>
      </c>
      <c r="D16" s="866"/>
      <c r="E16" s="866"/>
      <c r="F16" s="866"/>
      <c r="G16" s="866"/>
      <c r="H16" s="866"/>
      <c r="I16" s="866"/>
      <c r="J16" s="866"/>
      <c r="K16" s="866"/>
      <c r="L16" s="866"/>
      <c r="M16" s="866"/>
      <c r="N16" s="866"/>
      <c r="O16" s="866"/>
      <c r="P16" s="866"/>
      <c r="Q16" s="866"/>
      <c r="R16" s="866"/>
      <c r="S16" s="866"/>
      <c r="T16" s="866"/>
      <c r="U16" s="866"/>
      <c r="V16" s="866"/>
      <c r="W16" s="866"/>
      <c r="X16" s="866"/>
      <c r="Y16" s="866"/>
      <c r="Z16" s="866"/>
      <c r="AA16" s="866"/>
      <c r="AB16" s="866"/>
      <c r="AC16" s="866"/>
      <c r="AD16" s="866"/>
    </row>
    <row r="17" spans="1:40" s="563" customFormat="1" ht="3" customHeight="1">
      <c r="A17" s="564"/>
      <c r="B17" s="564"/>
      <c r="L17" s="565"/>
      <c r="M17" s="565"/>
      <c r="O17" s="565"/>
      <c r="P17" s="565"/>
      <c r="R17" s="565"/>
      <c r="S17" s="565"/>
    </row>
    <row r="18" spans="1:40" s="563" customFormat="1" ht="12" customHeight="1">
      <c r="A18" s="564"/>
      <c r="B18" s="564" t="s">
        <v>3156</v>
      </c>
      <c r="J18" s="665" t="s">
        <v>3098</v>
      </c>
      <c r="K18" s="665"/>
      <c r="L18" s="963">
        <f ca="1">cst_shinsei_KAKUNIN_KOUFU_DATE</f>
        <v>45363</v>
      </c>
      <c r="M18" s="963"/>
      <c r="N18" s="665" t="s">
        <v>2822</v>
      </c>
      <c r="O18" s="885">
        <f ca="1">cst_shinsei_KAKUNIN_KOUFU_DATE</f>
        <v>45363</v>
      </c>
      <c r="P18" s="885"/>
      <c r="Q18" s="665" t="s">
        <v>2823</v>
      </c>
      <c r="R18" s="886">
        <f ca="1">cst_shinsei_KAKUNIN_KOUFU_DATE</f>
        <v>45363</v>
      </c>
      <c r="S18" s="886"/>
      <c r="T18" s="665" t="s">
        <v>2824</v>
      </c>
    </row>
    <row r="19" spans="1:40" s="563" customFormat="1" ht="3" customHeight="1">
      <c r="A19" s="564"/>
      <c r="B19" s="564"/>
      <c r="L19" s="565"/>
      <c r="M19" s="565"/>
      <c r="O19" s="565"/>
      <c r="P19" s="565"/>
      <c r="R19" s="565"/>
      <c r="S19" s="565"/>
    </row>
    <row r="20" spans="1:40" s="563" customFormat="1" ht="12" customHeight="1">
      <c r="A20" s="564"/>
      <c r="B20" s="564" t="s">
        <v>3157</v>
      </c>
      <c r="J20" s="964" t="s">
        <v>3118</v>
      </c>
      <c r="K20" s="964"/>
      <c r="L20" s="887" t="str">
        <f ca="1">MID(cst_shinsei_KAKUNIN_ISSUE_NO,2,2)</f>
        <v>05</v>
      </c>
      <c r="M20" s="887"/>
      <c r="N20" s="888" t="str">
        <f ca="1">MID(cst_shinsei_KAKUNIN_ISSUE_NO,4,2)</f>
        <v>確認</v>
      </c>
      <c r="O20" s="888"/>
      <c r="P20" s="888" t="str">
        <f ca="1">MID(cst_shinsei_KAKUNIN_ISSUE_NO,6,6)</f>
        <v>建築IPEC</v>
      </c>
      <c r="Q20" s="888"/>
      <c r="R20" s="888"/>
      <c r="S20" s="888"/>
      <c r="T20" s="968" t="str">
        <f ca="1">RIGHT(cst_shinsei_KAKUNIN_ISSUE_NO,5)</f>
        <v>70003</v>
      </c>
      <c r="U20" s="968"/>
      <c r="V20" s="968"/>
      <c r="W20" s="503" t="s">
        <v>2762</v>
      </c>
      <c r="AN20" s="555" t="s">
        <v>3078</v>
      </c>
    </row>
    <row r="21" spans="1:40" s="560" customFormat="1" ht="7.5" customHeight="1">
      <c r="A21" s="562"/>
      <c r="B21" s="562"/>
      <c r="P21" s="562"/>
      <c r="Q21" s="562"/>
      <c r="R21" s="562"/>
      <c r="S21" s="562"/>
      <c r="T21" s="561"/>
      <c r="U21" s="561"/>
      <c r="V21" s="561"/>
      <c r="W21" s="561"/>
      <c r="AN21" s="555" t="s">
        <v>3079</v>
      </c>
    </row>
    <row r="22" spans="1:40" s="529" customFormat="1" ht="12.95" customHeight="1">
      <c r="B22" s="965" t="s">
        <v>3158</v>
      </c>
      <c r="C22" s="966"/>
      <c r="D22" s="966"/>
      <c r="E22" s="966"/>
      <c r="F22" s="967"/>
      <c r="G22" s="663" t="s">
        <v>2745</v>
      </c>
      <c r="H22" s="559" t="s">
        <v>181</v>
      </c>
      <c r="I22" s="559"/>
      <c r="J22" s="559"/>
      <c r="K22" s="664" t="s">
        <v>2745</v>
      </c>
      <c r="L22" s="559" t="s">
        <v>3159</v>
      </c>
      <c r="M22" s="559"/>
      <c r="N22" s="559"/>
      <c r="O22" s="664" t="s">
        <v>2745</v>
      </c>
      <c r="P22" s="559" t="s">
        <v>3160</v>
      </c>
      <c r="Q22" s="559"/>
      <c r="R22" s="559"/>
      <c r="S22" s="664" t="s">
        <v>2745</v>
      </c>
      <c r="T22" s="559" t="s">
        <v>391</v>
      </c>
      <c r="U22" s="559"/>
      <c r="V22" s="559"/>
      <c r="W22" s="664" t="s">
        <v>2745</v>
      </c>
      <c r="X22" s="559" t="s">
        <v>2828</v>
      </c>
      <c r="Y22" s="559"/>
      <c r="Z22" s="559"/>
      <c r="AA22" s="559"/>
      <c r="AB22" s="664" t="s">
        <v>2745</v>
      </c>
      <c r="AC22" s="558" t="s">
        <v>2992</v>
      </c>
      <c r="AD22" s="558"/>
      <c r="AE22" s="558"/>
      <c r="AF22" s="557"/>
      <c r="AN22" s="555" t="s">
        <v>3081</v>
      </c>
    </row>
    <row r="23" spans="1:40" s="529" customFormat="1" ht="12.95" customHeight="1">
      <c r="B23" s="906" t="s">
        <v>3161</v>
      </c>
      <c r="C23" s="907"/>
      <c r="D23" s="907"/>
      <c r="E23" s="907"/>
      <c r="F23" s="949"/>
      <c r="G23" s="916" t="s">
        <v>3162</v>
      </c>
      <c r="H23" s="917"/>
      <c r="I23" s="918"/>
      <c r="J23" s="545" t="s">
        <v>3135</v>
      </c>
      <c r="K23" s="544"/>
      <c r="L23" s="544"/>
      <c r="M23" s="544"/>
      <c r="N23" s="544"/>
      <c r="O23" s="544"/>
      <c r="P23" s="544"/>
      <c r="Q23" s="544"/>
      <c r="R23" s="544"/>
      <c r="S23" s="544"/>
      <c r="T23" s="544"/>
      <c r="U23" s="544"/>
      <c r="V23" s="544"/>
      <c r="W23" s="544"/>
      <c r="X23" s="544"/>
      <c r="Y23" s="544"/>
      <c r="Z23" s="544"/>
      <c r="AA23" s="544"/>
      <c r="AB23" s="544"/>
      <c r="AC23" s="544"/>
      <c r="AD23" s="544"/>
      <c r="AE23" s="544"/>
      <c r="AF23" s="556"/>
      <c r="AN23" s="555" t="s">
        <v>3082</v>
      </c>
    </row>
    <row r="24" spans="1:40" s="529" customFormat="1" ht="12.95" customHeight="1">
      <c r="B24" s="950"/>
      <c r="C24" s="951"/>
      <c r="D24" s="951"/>
      <c r="E24" s="951"/>
      <c r="F24" s="952"/>
      <c r="G24" s="919"/>
      <c r="H24" s="893"/>
      <c r="I24" s="920"/>
      <c r="J24" s="954" t="str">
        <f>cst_wskakunin_owner1__address</f>
        <v>大阪府茨木市山手台2-2-2</v>
      </c>
      <c r="K24" s="955"/>
      <c r="L24" s="955"/>
      <c r="M24" s="955"/>
      <c r="N24" s="955"/>
      <c r="O24" s="955"/>
      <c r="P24" s="955"/>
      <c r="Q24" s="955"/>
      <c r="R24" s="955"/>
      <c r="S24" s="955"/>
      <c r="T24" s="955"/>
      <c r="U24" s="955"/>
      <c r="V24" s="955"/>
      <c r="W24" s="955"/>
      <c r="X24" s="955"/>
      <c r="Y24" s="955"/>
      <c r="Z24" s="955"/>
      <c r="AA24" s="955"/>
      <c r="AB24" s="955"/>
      <c r="AC24" s="955"/>
      <c r="AD24" s="955"/>
      <c r="AE24" s="955"/>
      <c r="AF24" s="956"/>
      <c r="AN24" s="555" t="s">
        <v>3083</v>
      </c>
    </row>
    <row r="25" spans="1:40" s="529" customFormat="1" ht="12.95" customHeight="1">
      <c r="B25" s="950"/>
      <c r="C25" s="951"/>
      <c r="D25" s="951"/>
      <c r="E25" s="951"/>
      <c r="F25" s="952"/>
      <c r="G25" s="919"/>
      <c r="H25" s="893"/>
      <c r="I25" s="920"/>
      <c r="J25" s="554" t="s">
        <v>3136</v>
      </c>
      <c r="AF25" s="536"/>
      <c r="AN25" s="555" t="s">
        <v>3086</v>
      </c>
    </row>
    <row r="26" spans="1:40" s="529" customFormat="1" ht="12.95" customHeight="1">
      <c r="B26" s="950"/>
      <c r="C26" s="951"/>
      <c r="D26" s="951"/>
      <c r="E26" s="951"/>
      <c r="F26" s="952"/>
      <c r="G26" s="931"/>
      <c r="H26" s="889"/>
      <c r="I26" s="932"/>
      <c r="J26" s="957" t="str">
        <f>cst_wskakunin_owner1__space</f>
        <v>猫山　花子</v>
      </c>
      <c r="K26" s="958"/>
      <c r="L26" s="958"/>
      <c r="M26" s="958"/>
      <c r="N26" s="958"/>
      <c r="O26" s="958"/>
      <c r="P26" s="958"/>
      <c r="Q26" s="958"/>
      <c r="R26" s="958"/>
      <c r="S26" s="958"/>
      <c r="T26" s="958"/>
      <c r="U26" s="958"/>
      <c r="V26" s="546"/>
      <c r="W26" s="889" t="s">
        <v>3040</v>
      </c>
      <c r="X26" s="889"/>
      <c r="Y26" s="927" t="e">
        <f>cst_wskakunin_owner1_TEL_dsp</f>
        <v>#VALUE!</v>
      </c>
      <c r="Z26" s="927"/>
      <c r="AA26" s="927"/>
      <c r="AB26" s="927"/>
      <c r="AC26" s="927"/>
      <c r="AD26" s="927"/>
      <c r="AE26" s="927"/>
      <c r="AF26" s="959"/>
    </row>
    <row r="27" spans="1:40" s="529" customFormat="1" ht="12.95" customHeight="1">
      <c r="B27" s="950"/>
      <c r="C27" s="951"/>
      <c r="D27" s="951"/>
      <c r="E27" s="951"/>
      <c r="F27" s="952"/>
      <c r="G27" s="916" t="s">
        <v>3163</v>
      </c>
      <c r="H27" s="917"/>
      <c r="I27" s="918"/>
      <c r="J27" s="545" t="s">
        <v>3135</v>
      </c>
      <c r="K27" s="544"/>
      <c r="L27" s="544"/>
      <c r="M27" s="544"/>
      <c r="N27" s="544"/>
      <c r="O27" s="544"/>
      <c r="P27" s="544"/>
      <c r="Q27" s="544"/>
      <c r="R27" s="544"/>
      <c r="S27" s="544"/>
      <c r="T27" s="544"/>
      <c r="U27" s="544"/>
      <c r="V27" s="544"/>
      <c r="W27" s="544"/>
      <c r="X27" s="544"/>
      <c r="Y27" s="544"/>
      <c r="Z27" s="544"/>
      <c r="AA27" s="544"/>
      <c r="AB27" s="544"/>
      <c r="AC27" s="544"/>
      <c r="AD27" s="544"/>
      <c r="AE27" s="544"/>
      <c r="AF27" s="556"/>
      <c r="AN27" s="555" t="s">
        <v>2745</v>
      </c>
    </row>
    <row r="28" spans="1:40" s="529" customFormat="1" ht="12.95" customHeight="1">
      <c r="B28" s="950"/>
      <c r="C28" s="951"/>
      <c r="D28" s="951"/>
      <c r="E28" s="951"/>
      <c r="F28" s="952"/>
      <c r="G28" s="919"/>
      <c r="H28" s="893"/>
      <c r="I28" s="920"/>
      <c r="J28" s="868"/>
      <c r="K28" s="869"/>
      <c r="L28" s="869"/>
      <c r="M28" s="869"/>
      <c r="N28" s="869"/>
      <c r="O28" s="869"/>
      <c r="P28" s="869"/>
      <c r="Q28" s="869"/>
      <c r="R28" s="869"/>
      <c r="S28" s="869"/>
      <c r="T28" s="869"/>
      <c r="U28" s="869"/>
      <c r="V28" s="869"/>
      <c r="W28" s="869"/>
      <c r="X28" s="869"/>
      <c r="Y28" s="869"/>
      <c r="Z28" s="869"/>
      <c r="AA28" s="869"/>
      <c r="AB28" s="869"/>
      <c r="AC28" s="869"/>
      <c r="AD28" s="869"/>
      <c r="AE28" s="869"/>
      <c r="AF28" s="870"/>
      <c r="AN28" s="555" t="s">
        <v>2753</v>
      </c>
    </row>
    <row r="29" spans="1:40" s="529" customFormat="1" ht="12.95" customHeight="1">
      <c r="B29" s="950"/>
      <c r="C29" s="951"/>
      <c r="D29" s="951"/>
      <c r="E29" s="951"/>
      <c r="F29" s="952"/>
      <c r="G29" s="919"/>
      <c r="H29" s="893"/>
      <c r="I29" s="920"/>
      <c r="J29" s="554" t="s">
        <v>3136</v>
      </c>
      <c r="AF29" s="536"/>
    </row>
    <row r="30" spans="1:40" s="529" customFormat="1" ht="12.95" customHeight="1">
      <c r="B30" s="908"/>
      <c r="C30" s="909"/>
      <c r="D30" s="909"/>
      <c r="E30" s="909"/>
      <c r="F30" s="953"/>
      <c r="G30" s="919"/>
      <c r="H30" s="893"/>
      <c r="I30" s="920"/>
      <c r="J30" s="960"/>
      <c r="K30" s="961"/>
      <c r="L30" s="961"/>
      <c r="M30" s="961"/>
      <c r="N30" s="961"/>
      <c r="O30" s="961"/>
      <c r="P30" s="961"/>
      <c r="Q30" s="961"/>
      <c r="R30" s="961"/>
      <c r="S30" s="961"/>
      <c r="T30" s="961"/>
      <c r="U30" s="961"/>
      <c r="W30" s="889" t="s">
        <v>3040</v>
      </c>
      <c r="X30" s="889"/>
      <c r="Y30" s="880" t="s">
        <v>3164</v>
      </c>
      <c r="Z30" s="880"/>
      <c r="AA30" s="880"/>
      <c r="AB30" s="880"/>
      <c r="AC30" s="880"/>
      <c r="AD30" s="880"/>
      <c r="AE30" s="880"/>
      <c r="AF30" s="881"/>
    </row>
    <row r="31" spans="1:40" s="529" customFormat="1" ht="12.95" customHeight="1">
      <c r="B31" s="871" t="s">
        <v>3165</v>
      </c>
      <c r="C31" s="872"/>
      <c r="D31" s="872"/>
      <c r="E31" s="872"/>
      <c r="F31" s="873"/>
      <c r="G31" s="916" t="s">
        <v>3162</v>
      </c>
      <c r="H31" s="917"/>
      <c r="I31" s="918"/>
      <c r="J31" s="545" t="s">
        <v>3166</v>
      </c>
      <c r="K31" s="552"/>
      <c r="L31" s="552"/>
      <c r="M31" s="552"/>
      <c r="N31" s="552"/>
      <c r="O31" s="942" t="str">
        <f>cst_wskakunin_dairi1__address</f>
        <v>京都府京都市中京区道場町1</v>
      </c>
      <c r="P31" s="942"/>
      <c r="Q31" s="942"/>
      <c r="R31" s="942"/>
      <c r="S31" s="942"/>
      <c r="T31" s="942"/>
      <c r="U31" s="942"/>
      <c r="V31" s="942"/>
      <c r="W31" s="942"/>
      <c r="X31" s="942"/>
      <c r="Y31" s="942"/>
      <c r="Z31" s="942"/>
      <c r="AA31" s="942"/>
      <c r="AB31" s="942"/>
      <c r="AC31" s="942"/>
      <c r="AD31" s="942"/>
      <c r="AE31" s="942"/>
      <c r="AF31" s="943"/>
      <c r="AH31" s="891"/>
    </row>
    <row r="32" spans="1:40" s="529" customFormat="1" ht="12.95" customHeight="1">
      <c r="B32" s="874"/>
      <c r="C32" s="875"/>
      <c r="D32" s="875"/>
      <c r="E32" s="875"/>
      <c r="F32" s="876"/>
      <c r="G32" s="919"/>
      <c r="H32" s="893"/>
      <c r="I32" s="920"/>
      <c r="J32" s="551" t="s">
        <v>194</v>
      </c>
      <c r="K32" s="541"/>
      <c r="L32" s="892"/>
      <c r="M32" s="892"/>
      <c r="N32" s="892"/>
      <c r="O32" s="893"/>
      <c r="P32" s="893"/>
      <c r="Q32" s="893"/>
      <c r="R32" s="893"/>
      <c r="S32" s="893"/>
      <c r="T32" s="893"/>
      <c r="W32" s="540" t="s">
        <v>3167</v>
      </c>
      <c r="X32" s="882" t="str">
        <f>cst_wskakunin_dairi1_SIKAKU</f>
        <v>一級</v>
      </c>
      <c r="Y32" s="882"/>
      <c r="Z32" s="529" t="s">
        <v>3168</v>
      </c>
      <c r="AF32" s="536"/>
      <c r="AH32" s="891"/>
    </row>
    <row r="33" spans="2:34" s="529" customFormat="1" ht="12.95" customHeight="1">
      <c r="B33" s="874"/>
      <c r="C33" s="875"/>
      <c r="D33" s="875"/>
      <c r="E33" s="875"/>
      <c r="F33" s="876"/>
      <c r="G33" s="919"/>
      <c r="H33" s="893"/>
      <c r="I33" s="920"/>
      <c r="J33" s="549"/>
      <c r="K33" s="547"/>
      <c r="L33" s="894" t="str">
        <f>cst_wskakunin_dairi1_NAME</f>
        <v>現場　猫</v>
      </c>
      <c r="M33" s="894"/>
      <c r="N33" s="894"/>
      <c r="O33" s="894"/>
      <c r="P33" s="894"/>
      <c r="Q33" s="894"/>
      <c r="R33" s="894"/>
      <c r="S33" s="894"/>
      <c r="T33" s="894"/>
      <c r="U33" s="531"/>
      <c r="V33" s="531"/>
      <c r="W33" s="548" t="s">
        <v>2868</v>
      </c>
      <c r="X33" s="894" t="str">
        <f>cst_wskakunin_dairi1_TOUROKU_KIKAN</f>
        <v>大臣</v>
      </c>
      <c r="Y33" s="894"/>
      <c r="Z33" s="894"/>
      <c r="AA33" s="547" t="s">
        <v>3062</v>
      </c>
      <c r="AB33" s="531"/>
      <c r="AC33" s="899" t="str">
        <f>cst_wskakunin_dairi1_KENTIKUSI_NO</f>
        <v>001100</v>
      </c>
      <c r="AD33" s="899"/>
      <c r="AE33" s="899"/>
      <c r="AF33" s="530" t="s">
        <v>2762</v>
      </c>
      <c r="AH33" s="891"/>
    </row>
    <row r="34" spans="2:34" s="529" customFormat="1" ht="12.95" customHeight="1">
      <c r="B34" s="874"/>
      <c r="C34" s="875"/>
      <c r="D34" s="875"/>
      <c r="E34" s="875"/>
      <c r="F34" s="876"/>
      <c r="G34" s="919"/>
      <c r="H34" s="893"/>
      <c r="I34" s="920"/>
      <c r="J34" s="550" t="s">
        <v>3169</v>
      </c>
      <c r="K34" s="539"/>
      <c r="L34" s="539"/>
      <c r="M34" s="539"/>
      <c r="N34" s="896" t="str">
        <f>cst_wskakunin_dairi1_JIMU_NAME</f>
        <v>猫建築事務所</v>
      </c>
      <c r="O34" s="896"/>
      <c r="P34" s="896"/>
      <c r="Q34" s="896"/>
      <c r="R34" s="896"/>
      <c r="S34" s="896"/>
      <c r="T34" s="896"/>
      <c r="U34" s="896"/>
      <c r="W34" s="540" t="s">
        <v>3170</v>
      </c>
      <c r="X34" s="895" t="str">
        <f>cst_wskakunin_dairi1_JIMU_SIKAKU</f>
        <v>一級</v>
      </c>
      <c r="Y34" s="895"/>
      <c r="Z34" s="529" t="s">
        <v>3171</v>
      </c>
      <c r="AF34" s="536"/>
      <c r="AH34" s="891"/>
    </row>
    <row r="35" spans="2:34" s="529" customFormat="1" ht="12.95" customHeight="1">
      <c r="B35" s="874"/>
      <c r="C35" s="875"/>
      <c r="D35" s="875"/>
      <c r="E35" s="875"/>
      <c r="F35" s="876"/>
      <c r="G35" s="919"/>
      <c r="H35" s="893"/>
      <c r="I35" s="920"/>
      <c r="J35" s="535"/>
      <c r="K35" s="533"/>
      <c r="L35" s="534" t="s">
        <v>3040</v>
      </c>
      <c r="M35" s="533"/>
      <c r="N35" s="944" t="str">
        <f>cst_wskakunin_dairi1_TEL_dsp</f>
        <v>（075）　000-0000</v>
      </c>
      <c r="O35" s="944"/>
      <c r="P35" s="944"/>
      <c r="Q35" s="944"/>
      <c r="R35" s="944"/>
      <c r="S35" s="944"/>
      <c r="T35" s="944"/>
      <c r="U35" s="944"/>
      <c r="V35" s="553" t="s">
        <v>2868</v>
      </c>
      <c r="W35" s="867" t="str">
        <f>cst_wskakunin_dairi1_JIMU_TOUROKU_KIKAN</f>
        <v>京都府</v>
      </c>
      <c r="X35" s="867"/>
      <c r="Y35" s="546" t="s">
        <v>3172</v>
      </c>
      <c r="Z35" s="546"/>
      <c r="AA35" s="546"/>
      <c r="AB35" s="546" t="s">
        <v>2831</v>
      </c>
      <c r="AC35" s="867" t="str">
        <f>cst_wskakunin_dairi1_JIMU_NO</f>
        <v>03A00000</v>
      </c>
      <c r="AD35" s="867"/>
      <c r="AE35" s="867"/>
      <c r="AF35" s="530" t="s">
        <v>2762</v>
      </c>
      <c r="AH35" s="891"/>
    </row>
    <row r="36" spans="2:34" s="529" customFormat="1" ht="12.95" customHeight="1">
      <c r="B36" s="874"/>
      <c r="C36" s="875"/>
      <c r="D36" s="875"/>
      <c r="E36" s="875"/>
      <c r="F36" s="876"/>
      <c r="G36" s="916" t="s">
        <v>3163</v>
      </c>
      <c r="H36" s="917"/>
      <c r="I36" s="918"/>
      <c r="J36" s="545" t="s">
        <v>3166</v>
      </c>
      <c r="K36" s="552"/>
      <c r="L36" s="552"/>
      <c r="M36" s="552"/>
      <c r="N36" s="552"/>
      <c r="O36" s="883"/>
      <c r="P36" s="883"/>
      <c r="Q36" s="883"/>
      <c r="R36" s="883"/>
      <c r="S36" s="883"/>
      <c r="T36" s="883"/>
      <c r="U36" s="883"/>
      <c r="V36" s="883"/>
      <c r="W36" s="883"/>
      <c r="X36" s="883"/>
      <c r="Y36" s="883"/>
      <c r="Z36" s="883"/>
      <c r="AA36" s="883"/>
      <c r="AB36" s="883"/>
      <c r="AC36" s="883"/>
      <c r="AD36" s="883"/>
      <c r="AE36" s="883"/>
      <c r="AF36" s="884"/>
      <c r="AH36" s="891"/>
    </row>
    <row r="37" spans="2:34" s="529" customFormat="1" ht="12.95" customHeight="1">
      <c r="B37" s="874"/>
      <c r="C37" s="875"/>
      <c r="D37" s="875"/>
      <c r="E37" s="875"/>
      <c r="F37" s="876"/>
      <c r="G37" s="919"/>
      <c r="H37" s="893"/>
      <c r="I37" s="920"/>
      <c r="J37" s="551" t="s">
        <v>194</v>
      </c>
      <c r="K37" s="541"/>
      <c r="L37" s="892"/>
      <c r="M37" s="892"/>
      <c r="N37" s="892"/>
      <c r="O37" s="893"/>
      <c r="P37" s="893"/>
      <c r="Q37" s="893"/>
      <c r="R37" s="893"/>
      <c r="S37" s="893"/>
      <c r="T37" s="893"/>
      <c r="W37" s="540" t="s">
        <v>3167</v>
      </c>
      <c r="X37" s="902"/>
      <c r="Y37" s="902"/>
      <c r="Z37" s="529" t="s">
        <v>3168</v>
      </c>
      <c r="AF37" s="536"/>
      <c r="AH37" s="891"/>
    </row>
    <row r="38" spans="2:34" s="529" customFormat="1" ht="12.95" customHeight="1">
      <c r="B38" s="874"/>
      <c r="C38" s="875"/>
      <c r="D38" s="875"/>
      <c r="E38" s="875"/>
      <c r="F38" s="876"/>
      <c r="G38" s="919"/>
      <c r="H38" s="893"/>
      <c r="I38" s="920"/>
      <c r="J38" s="549"/>
      <c r="K38" s="547"/>
      <c r="L38" s="897"/>
      <c r="M38" s="897"/>
      <c r="N38" s="897"/>
      <c r="O38" s="897"/>
      <c r="P38" s="897"/>
      <c r="Q38" s="897"/>
      <c r="R38" s="897"/>
      <c r="S38" s="897"/>
      <c r="T38" s="897"/>
      <c r="U38" s="531"/>
      <c r="V38" s="531"/>
      <c r="W38" s="548" t="s">
        <v>2868</v>
      </c>
      <c r="X38" s="897"/>
      <c r="Y38" s="897"/>
      <c r="Z38" s="897"/>
      <c r="AA38" s="547" t="s">
        <v>3062</v>
      </c>
      <c r="AB38" s="531"/>
      <c r="AC38" s="898"/>
      <c r="AD38" s="898"/>
      <c r="AE38" s="898"/>
      <c r="AF38" s="530" t="s">
        <v>2762</v>
      </c>
      <c r="AH38" s="891"/>
    </row>
    <row r="39" spans="2:34" s="529" customFormat="1" ht="12.95" customHeight="1">
      <c r="B39" s="874"/>
      <c r="C39" s="875"/>
      <c r="D39" s="875"/>
      <c r="E39" s="875"/>
      <c r="F39" s="876"/>
      <c r="G39" s="919"/>
      <c r="H39" s="893"/>
      <c r="I39" s="920"/>
      <c r="J39" s="550" t="s">
        <v>3169</v>
      </c>
      <c r="K39" s="539"/>
      <c r="L39" s="539"/>
      <c r="M39" s="539"/>
      <c r="N39" s="903"/>
      <c r="O39" s="903"/>
      <c r="P39" s="903"/>
      <c r="Q39" s="903"/>
      <c r="R39" s="903"/>
      <c r="S39" s="903"/>
      <c r="T39" s="903"/>
      <c r="U39" s="903"/>
      <c r="W39" s="540" t="s">
        <v>3170</v>
      </c>
      <c r="X39" s="904"/>
      <c r="Y39" s="904"/>
      <c r="Z39" s="529" t="s">
        <v>3171</v>
      </c>
      <c r="AF39" s="536"/>
      <c r="AH39" s="891"/>
    </row>
    <row r="40" spans="2:34" s="529" customFormat="1" ht="12.95" customHeight="1">
      <c r="B40" s="877"/>
      <c r="C40" s="878"/>
      <c r="D40" s="878"/>
      <c r="E40" s="878"/>
      <c r="F40" s="879"/>
      <c r="G40" s="931"/>
      <c r="H40" s="889"/>
      <c r="I40" s="932"/>
      <c r="J40" s="535"/>
      <c r="K40" s="533"/>
      <c r="L40" s="534" t="s">
        <v>3040</v>
      </c>
      <c r="M40" s="533"/>
      <c r="N40" s="905" t="s">
        <v>3173</v>
      </c>
      <c r="O40" s="905"/>
      <c r="P40" s="905"/>
      <c r="Q40" s="905"/>
      <c r="R40" s="905"/>
      <c r="S40" s="905"/>
      <c r="T40" s="905"/>
      <c r="U40" s="905"/>
      <c r="V40" s="553" t="s">
        <v>2868</v>
      </c>
      <c r="W40" s="865"/>
      <c r="X40" s="865"/>
      <c r="Y40" s="546" t="s">
        <v>3172</v>
      </c>
      <c r="Z40" s="546"/>
      <c r="AA40" s="546"/>
      <c r="AB40" s="546" t="s">
        <v>2831</v>
      </c>
      <c r="AC40" s="865"/>
      <c r="AD40" s="865"/>
      <c r="AE40" s="865"/>
      <c r="AF40" s="530" t="s">
        <v>2762</v>
      </c>
      <c r="AH40" s="891"/>
    </row>
    <row r="41" spans="2:34" s="529" customFormat="1" ht="12.95" customHeight="1">
      <c r="B41" s="871" t="s">
        <v>3174</v>
      </c>
      <c r="C41" s="872"/>
      <c r="D41" s="872"/>
      <c r="E41" s="872"/>
      <c r="F41" s="873"/>
      <c r="G41" s="916" t="s">
        <v>3162</v>
      </c>
      <c r="H41" s="917"/>
      <c r="I41" s="918"/>
      <c r="J41" s="545" t="s">
        <v>3166</v>
      </c>
      <c r="K41" s="552"/>
      <c r="L41" s="552"/>
      <c r="M41" s="552"/>
      <c r="N41" s="552"/>
      <c r="O41" s="900" t="str">
        <f>cst_wskakunin_kanri1__address</f>
        <v>京都府京都市中京区道場町1</v>
      </c>
      <c r="P41" s="900"/>
      <c r="Q41" s="900"/>
      <c r="R41" s="900"/>
      <c r="S41" s="900"/>
      <c r="T41" s="900"/>
      <c r="U41" s="900"/>
      <c r="V41" s="900"/>
      <c r="W41" s="900"/>
      <c r="X41" s="900"/>
      <c r="Y41" s="900"/>
      <c r="Z41" s="900"/>
      <c r="AA41" s="900"/>
      <c r="AB41" s="900"/>
      <c r="AC41" s="900"/>
      <c r="AD41" s="900"/>
      <c r="AE41" s="900"/>
      <c r="AF41" s="901"/>
    </row>
    <row r="42" spans="2:34" s="529" customFormat="1" ht="12.95" customHeight="1">
      <c r="B42" s="874"/>
      <c r="C42" s="875"/>
      <c r="D42" s="875"/>
      <c r="E42" s="875"/>
      <c r="F42" s="876"/>
      <c r="G42" s="919"/>
      <c r="H42" s="893"/>
      <c r="I42" s="920"/>
      <c r="J42" s="551" t="s">
        <v>194</v>
      </c>
      <c r="K42" s="541"/>
      <c r="L42" s="892"/>
      <c r="M42" s="892"/>
      <c r="N42" s="892"/>
      <c r="O42" s="893"/>
      <c r="P42" s="893"/>
      <c r="Q42" s="893"/>
      <c r="R42" s="893"/>
      <c r="S42" s="893"/>
      <c r="T42" s="893"/>
      <c r="W42" s="540" t="s">
        <v>3167</v>
      </c>
      <c r="X42" s="882" t="str">
        <f>cst_wskakunin_kanri1_SIKAKU</f>
        <v>一級</v>
      </c>
      <c r="Y42" s="882"/>
      <c r="Z42" s="529" t="s">
        <v>3168</v>
      </c>
      <c r="AF42" s="536"/>
    </row>
    <row r="43" spans="2:34" s="529" customFormat="1" ht="12.95" customHeight="1">
      <c r="B43" s="874"/>
      <c r="C43" s="875"/>
      <c r="D43" s="875"/>
      <c r="E43" s="875"/>
      <c r="F43" s="876"/>
      <c r="G43" s="919"/>
      <c r="H43" s="893"/>
      <c r="I43" s="920"/>
      <c r="J43" s="549"/>
      <c r="K43" s="547"/>
      <c r="L43" s="894" t="str">
        <f>cst_wskakunin_kanri1_NAME</f>
        <v>現場　猫</v>
      </c>
      <c r="M43" s="894"/>
      <c r="N43" s="894"/>
      <c r="O43" s="894"/>
      <c r="P43" s="894"/>
      <c r="Q43" s="894"/>
      <c r="R43" s="894"/>
      <c r="S43" s="894"/>
      <c r="T43" s="894"/>
      <c r="U43" s="531"/>
      <c r="V43" s="531"/>
      <c r="W43" s="548" t="s">
        <v>2868</v>
      </c>
      <c r="X43" s="894" t="str">
        <f>cst_wskakunin_kanri1_TOUROKU_KIKAN</f>
        <v>大臣</v>
      </c>
      <c r="Y43" s="894"/>
      <c r="Z43" s="894"/>
      <c r="AA43" s="547" t="s">
        <v>3062</v>
      </c>
      <c r="AB43" s="531"/>
      <c r="AC43" s="899" t="str">
        <f>cst_wskakunin_kanri1_KENTIKUSI_NO</f>
        <v>001100</v>
      </c>
      <c r="AD43" s="899"/>
      <c r="AE43" s="899"/>
      <c r="AF43" s="530" t="s">
        <v>2762</v>
      </c>
    </row>
    <row r="44" spans="2:34" s="529" customFormat="1" ht="12.95" customHeight="1">
      <c r="B44" s="874"/>
      <c r="C44" s="875"/>
      <c r="D44" s="875"/>
      <c r="E44" s="875"/>
      <c r="F44" s="876"/>
      <c r="G44" s="919"/>
      <c r="H44" s="893"/>
      <c r="I44" s="920"/>
      <c r="J44" s="550" t="s">
        <v>3169</v>
      </c>
      <c r="K44" s="539"/>
      <c r="L44" s="539"/>
      <c r="M44" s="539"/>
      <c r="N44" s="896" t="str">
        <f>cst_wskakunin_kanri1_JIMU_NAME</f>
        <v>猫建築事務所</v>
      </c>
      <c r="O44" s="896"/>
      <c r="P44" s="896"/>
      <c r="Q44" s="896"/>
      <c r="R44" s="896"/>
      <c r="S44" s="896"/>
      <c r="T44" s="896"/>
      <c r="U44" s="896"/>
      <c r="W44" s="540" t="s">
        <v>3170</v>
      </c>
      <c r="X44" s="895" t="str">
        <f>cst_wskakunin_kanri1_JIMU_SIKAKU</f>
        <v>一級</v>
      </c>
      <c r="Y44" s="895"/>
      <c r="Z44" s="529" t="s">
        <v>3171</v>
      </c>
      <c r="AF44" s="536"/>
    </row>
    <row r="45" spans="2:34" s="529" customFormat="1" ht="12.95" customHeight="1">
      <c r="B45" s="874"/>
      <c r="C45" s="875"/>
      <c r="D45" s="875"/>
      <c r="E45" s="875"/>
      <c r="F45" s="876"/>
      <c r="G45" s="919"/>
      <c r="H45" s="893"/>
      <c r="I45" s="920"/>
      <c r="J45" s="549"/>
      <c r="K45" s="547"/>
      <c r="L45" s="548" t="s">
        <v>3040</v>
      </c>
      <c r="M45" s="547"/>
      <c r="N45" s="947" t="str">
        <f>cst_wskakunin_kanri1_TEL_dsp</f>
        <v>（075）　000-0000</v>
      </c>
      <c r="O45" s="947"/>
      <c r="P45" s="947"/>
      <c r="Q45" s="947"/>
      <c r="R45" s="947"/>
      <c r="S45" s="947"/>
      <c r="T45" s="947"/>
      <c r="U45" s="947"/>
      <c r="V45" s="532" t="s">
        <v>2868</v>
      </c>
      <c r="W45" s="899" t="str">
        <f>cst_wskakunin_kanri1_JIMU_TOUROKU_KIKAN</f>
        <v>京都府</v>
      </c>
      <c r="X45" s="899"/>
      <c r="Y45" s="531" t="s">
        <v>3172</v>
      </c>
      <c r="Z45" s="531"/>
      <c r="AA45" s="531"/>
      <c r="AB45" s="531" t="s">
        <v>2831</v>
      </c>
      <c r="AC45" s="899" t="str">
        <f>cst_wskakunin_kanri1_JIMU_NO</f>
        <v>03A00000</v>
      </c>
      <c r="AD45" s="899"/>
      <c r="AE45" s="899"/>
      <c r="AF45" s="530" t="s">
        <v>2762</v>
      </c>
    </row>
    <row r="46" spans="2:34" s="529" customFormat="1" ht="12.95" customHeight="1">
      <c r="B46" s="874"/>
      <c r="C46" s="875"/>
      <c r="D46" s="875"/>
      <c r="E46" s="875"/>
      <c r="F46" s="876"/>
      <c r="G46" s="931"/>
      <c r="H46" s="889"/>
      <c r="I46" s="932"/>
      <c r="J46" s="933" t="s">
        <v>3175</v>
      </c>
      <c r="K46" s="934"/>
      <c r="L46" s="934"/>
      <c r="M46" s="934"/>
      <c r="N46" s="934"/>
      <c r="O46" s="934"/>
      <c r="P46" s="934"/>
      <c r="Q46" s="927" t="str">
        <f>cst_wskakunin_kanri1_DOC</f>
        <v>全ての設計図書</v>
      </c>
      <c r="R46" s="927"/>
      <c r="S46" s="927"/>
      <c r="T46" s="927"/>
      <c r="U46" s="927"/>
      <c r="V46" s="945"/>
      <c r="W46" s="945"/>
      <c r="X46" s="945"/>
      <c r="Y46" s="945"/>
      <c r="Z46" s="945"/>
      <c r="AA46" s="945"/>
      <c r="AB46" s="945"/>
      <c r="AC46" s="945"/>
      <c r="AD46" s="945"/>
      <c r="AE46" s="945"/>
      <c r="AF46" s="946"/>
    </row>
    <row r="47" spans="2:34" s="529" customFormat="1" ht="12.95" customHeight="1">
      <c r="B47" s="874"/>
      <c r="C47" s="875"/>
      <c r="D47" s="875"/>
      <c r="E47" s="875"/>
      <c r="F47" s="876"/>
      <c r="G47" s="916" t="s">
        <v>3163</v>
      </c>
      <c r="H47" s="917"/>
      <c r="I47" s="918"/>
      <c r="J47" s="545" t="s">
        <v>3166</v>
      </c>
      <c r="K47" s="552"/>
      <c r="L47" s="552"/>
      <c r="M47" s="552"/>
      <c r="N47" s="552"/>
      <c r="O47" s="883"/>
      <c r="P47" s="883"/>
      <c r="Q47" s="883"/>
      <c r="R47" s="883"/>
      <c r="S47" s="883"/>
      <c r="T47" s="883"/>
      <c r="U47" s="883"/>
      <c r="V47" s="883"/>
      <c r="W47" s="883"/>
      <c r="X47" s="883"/>
      <c r="Y47" s="883"/>
      <c r="Z47" s="883"/>
      <c r="AA47" s="883"/>
      <c r="AB47" s="883"/>
      <c r="AC47" s="883"/>
      <c r="AD47" s="883"/>
      <c r="AE47" s="883"/>
      <c r="AF47" s="884"/>
    </row>
    <row r="48" spans="2:34" s="529" customFormat="1" ht="12.95" customHeight="1">
      <c r="B48" s="874"/>
      <c r="C48" s="875"/>
      <c r="D48" s="875"/>
      <c r="E48" s="875"/>
      <c r="F48" s="876"/>
      <c r="G48" s="919"/>
      <c r="H48" s="893"/>
      <c r="I48" s="920"/>
      <c r="J48" s="551" t="s">
        <v>194</v>
      </c>
      <c r="K48" s="541"/>
      <c r="L48" s="892"/>
      <c r="M48" s="892"/>
      <c r="N48" s="892"/>
      <c r="O48" s="893"/>
      <c r="P48" s="893"/>
      <c r="Q48" s="893"/>
      <c r="R48" s="893"/>
      <c r="S48" s="893"/>
      <c r="T48" s="893"/>
      <c r="W48" s="540" t="s">
        <v>3167</v>
      </c>
      <c r="X48" s="902"/>
      <c r="Y48" s="902"/>
      <c r="Z48" s="529" t="s">
        <v>3168</v>
      </c>
      <c r="AF48" s="536"/>
    </row>
    <row r="49" spans="2:32" s="529" customFormat="1" ht="12.95" customHeight="1">
      <c r="B49" s="874"/>
      <c r="C49" s="875"/>
      <c r="D49" s="875"/>
      <c r="E49" s="875"/>
      <c r="F49" s="876"/>
      <c r="G49" s="919"/>
      <c r="H49" s="893"/>
      <c r="I49" s="920"/>
      <c r="J49" s="549"/>
      <c r="K49" s="547"/>
      <c r="L49" s="897"/>
      <c r="M49" s="897"/>
      <c r="N49" s="897"/>
      <c r="O49" s="897"/>
      <c r="P49" s="897"/>
      <c r="Q49" s="897"/>
      <c r="R49" s="897"/>
      <c r="S49" s="897"/>
      <c r="T49" s="897"/>
      <c r="U49" s="531"/>
      <c r="V49" s="531"/>
      <c r="W49" s="548" t="s">
        <v>2868</v>
      </c>
      <c r="X49" s="897"/>
      <c r="Y49" s="897"/>
      <c r="Z49" s="897"/>
      <c r="AA49" s="547" t="s">
        <v>3062</v>
      </c>
      <c r="AB49" s="531"/>
      <c r="AC49" s="898"/>
      <c r="AD49" s="898"/>
      <c r="AE49" s="898"/>
      <c r="AF49" s="530" t="s">
        <v>2762</v>
      </c>
    </row>
    <row r="50" spans="2:32" s="529" customFormat="1" ht="12.95" customHeight="1">
      <c r="B50" s="874"/>
      <c r="C50" s="875"/>
      <c r="D50" s="875"/>
      <c r="E50" s="875"/>
      <c r="F50" s="876"/>
      <c r="G50" s="919"/>
      <c r="H50" s="893"/>
      <c r="I50" s="920"/>
      <c r="J50" s="550" t="s">
        <v>3169</v>
      </c>
      <c r="K50" s="539"/>
      <c r="L50" s="539"/>
      <c r="M50" s="539"/>
      <c r="N50" s="903"/>
      <c r="O50" s="903"/>
      <c r="P50" s="903"/>
      <c r="Q50" s="903"/>
      <c r="R50" s="903"/>
      <c r="S50" s="903"/>
      <c r="T50" s="903"/>
      <c r="U50" s="903"/>
      <c r="W50" s="540" t="s">
        <v>3170</v>
      </c>
      <c r="X50" s="904"/>
      <c r="Y50" s="904"/>
      <c r="Z50" s="529" t="s">
        <v>3171</v>
      </c>
      <c r="AF50" s="536"/>
    </row>
    <row r="51" spans="2:32" s="529" customFormat="1" ht="12.95" customHeight="1">
      <c r="B51" s="874"/>
      <c r="C51" s="875"/>
      <c r="D51" s="875"/>
      <c r="E51" s="875"/>
      <c r="F51" s="876"/>
      <c r="G51" s="919"/>
      <c r="H51" s="893"/>
      <c r="I51" s="920"/>
      <c r="J51" s="549"/>
      <c r="K51" s="547"/>
      <c r="L51" s="548" t="s">
        <v>3040</v>
      </c>
      <c r="M51" s="547"/>
      <c r="N51" s="935" t="s">
        <v>3173</v>
      </c>
      <c r="O51" s="935"/>
      <c r="P51" s="935"/>
      <c r="Q51" s="935"/>
      <c r="R51" s="935"/>
      <c r="S51" s="935"/>
      <c r="T51" s="935"/>
      <c r="U51" s="935"/>
      <c r="V51" s="532" t="s">
        <v>2868</v>
      </c>
      <c r="W51" s="898"/>
      <c r="X51" s="898"/>
      <c r="Y51" s="531" t="s">
        <v>3172</v>
      </c>
      <c r="Z51" s="531"/>
      <c r="AA51" s="531"/>
      <c r="AB51" s="531" t="s">
        <v>2831</v>
      </c>
      <c r="AC51" s="898"/>
      <c r="AD51" s="898"/>
      <c r="AE51" s="898"/>
      <c r="AF51" s="530" t="s">
        <v>2762</v>
      </c>
    </row>
    <row r="52" spans="2:32" s="529" customFormat="1" ht="12.95" customHeight="1">
      <c r="B52" s="877"/>
      <c r="C52" s="878"/>
      <c r="D52" s="878"/>
      <c r="E52" s="878"/>
      <c r="F52" s="879"/>
      <c r="G52" s="931"/>
      <c r="H52" s="889"/>
      <c r="I52" s="932"/>
      <c r="J52" s="933" t="s">
        <v>3175</v>
      </c>
      <c r="K52" s="934"/>
      <c r="L52" s="934"/>
      <c r="M52" s="934"/>
      <c r="N52" s="934"/>
      <c r="O52" s="934"/>
      <c r="P52" s="934"/>
      <c r="Q52" s="880"/>
      <c r="R52" s="880"/>
      <c r="S52" s="880"/>
      <c r="T52" s="880"/>
      <c r="U52" s="880"/>
      <c r="V52" s="936"/>
      <c r="W52" s="936"/>
      <c r="X52" s="936"/>
      <c r="Y52" s="936"/>
      <c r="Z52" s="936"/>
      <c r="AA52" s="936"/>
      <c r="AB52" s="936"/>
      <c r="AC52" s="936"/>
      <c r="AD52" s="936"/>
      <c r="AE52" s="936"/>
      <c r="AF52" s="937"/>
    </row>
    <row r="53" spans="2:32" s="529" customFormat="1" ht="12.95" customHeight="1">
      <c r="B53" s="871" t="s">
        <v>1466</v>
      </c>
      <c r="C53" s="872"/>
      <c r="D53" s="872"/>
      <c r="E53" s="872"/>
      <c r="F53" s="873"/>
      <c r="G53" s="916" t="s">
        <v>3162</v>
      </c>
      <c r="H53" s="917"/>
      <c r="I53" s="918"/>
      <c r="J53" s="545" t="s">
        <v>3135</v>
      </c>
      <c r="K53" s="544"/>
      <c r="L53" s="544"/>
      <c r="M53" s="544"/>
      <c r="N53" s="544"/>
      <c r="O53" s="543"/>
      <c r="P53" s="543"/>
      <c r="Q53" s="543"/>
      <c r="R53" s="543"/>
      <c r="S53" s="543"/>
      <c r="T53" s="543"/>
      <c r="U53" s="543"/>
      <c r="V53" s="543"/>
      <c r="W53" s="543"/>
      <c r="X53" s="543"/>
      <c r="Y53" s="543"/>
      <c r="Z53" s="543"/>
      <c r="AA53" s="543"/>
      <c r="AB53" s="543"/>
      <c r="AC53" s="543"/>
      <c r="AD53" s="543"/>
      <c r="AE53" s="543"/>
      <c r="AF53" s="542"/>
    </row>
    <row r="54" spans="2:32" s="529" customFormat="1" ht="12.95" customHeight="1">
      <c r="B54" s="874"/>
      <c r="C54" s="875"/>
      <c r="D54" s="875"/>
      <c r="E54" s="875"/>
      <c r="F54" s="876"/>
      <c r="G54" s="919"/>
      <c r="H54" s="893"/>
      <c r="I54" s="920"/>
      <c r="J54" s="928" t="str">
        <f>cst_wskakunin_sekou1__address</f>
        <v>京都府向日市上植野町落掘17-1</v>
      </c>
      <c r="K54" s="929"/>
      <c r="L54" s="929"/>
      <c r="M54" s="929"/>
      <c r="N54" s="929"/>
      <c r="O54" s="929"/>
      <c r="P54" s="929"/>
      <c r="Q54" s="929"/>
      <c r="R54" s="929"/>
      <c r="S54" s="929"/>
      <c r="T54" s="929"/>
      <c r="U54" s="929"/>
      <c r="V54" s="929"/>
      <c r="W54" s="929"/>
      <c r="X54" s="929"/>
      <c r="Y54" s="929"/>
      <c r="Z54" s="929"/>
      <c r="AA54" s="929"/>
      <c r="AB54" s="929"/>
      <c r="AC54" s="929"/>
      <c r="AD54" s="929"/>
      <c r="AE54" s="929"/>
      <c r="AF54" s="930"/>
    </row>
    <row r="55" spans="2:32" s="529" customFormat="1" ht="12.95" customHeight="1">
      <c r="B55" s="874"/>
      <c r="C55" s="875"/>
      <c r="D55" s="875"/>
      <c r="E55" s="875"/>
      <c r="F55" s="876"/>
      <c r="G55" s="919"/>
      <c r="H55" s="893"/>
      <c r="I55" s="920"/>
      <c r="J55" s="923" t="s">
        <v>3136</v>
      </c>
      <c r="K55" s="924"/>
      <c r="L55" s="924"/>
      <c r="M55" s="924"/>
      <c r="N55" s="924"/>
      <c r="O55" s="924"/>
      <c r="P55" s="924"/>
      <c r="Q55" s="924"/>
      <c r="R55" s="924"/>
      <c r="S55" s="924"/>
      <c r="T55" s="924"/>
      <c r="U55" s="541"/>
      <c r="V55" s="529" t="s">
        <v>1474</v>
      </c>
      <c r="W55" s="540"/>
      <c r="X55" s="539"/>
      <c r="Y55" s="539"/>
      <c r="AF55" s="536"/>
    </row>
    <row r="56" spans="2:32" s="529" customFormat="1" ht="12.95" customHeight="1">
      <c r="B56" s="874"/>
      <c r="C56" s="875"/>
      <c r="D56" s="875"/>
      <c r="E56" s="875"/>
      <c r="F56" s="876"/>
      <c r="G56" s="919"/>
      <c r="H56" s="893"/>
      <c r="I56" s="920"/>
      <c r="J56" s="938" t="str">
        <f>cst_wskakunin_sekou1_NAME</f>
        <v>代表取締役　波夛野　賢</v>
      </c>
      <c r="K56" s="939"/>
      <c r="L56" s="939"/>
      <c r="M56" s="939"/>
      <c r="N56" s="939"/>
      <c r="O56" s="939"/>
      <c r="P56" s="939"/>
      <c r="Q56" s="939"/>
      <c r="R56" s="939"/>
      <c r="S56" s="939"/>
      <c r="T56" s="939"/>
      <c r="V56" s="662" t="s">
        <v>2745</v>
      </c>
      <c r="W56" s="529" t="s">
        <v>3176</v>
      </c>
      <c r="X56" s="538"/>
      <c r="Y56" s="538"/>
      <c r="Z56" s="538"/>
      <c r="AA56" s="538"/>
      <c r="AB56" s="662" t="s">
        <v>2745</v>
      </c>
      <c r="AC56" s="529" t="s">
        <v>3177</v>
      </c>
      <c r="AD56" s="537"/>
      <c r="AE56" s="537"/>
      <c r="AF56" s="536"/>
    </row>
    <row r="57" spans="2:32" s="529" customFormat="1" ht="12.95" customHeight="1">
      <c r="B57" s="874"/>
      <c r="C57" s="875"/>
      <c r="D57" s="875"/>
      <c r="E57" s="875"/>
      <c r="F57" s="876"/>
      <c r="G57" s="919"/>
      <c r="H57" s="893"/>
      <c r="I57" s="920"/>
      <c r="J57" s="535"/>
      <c r="K57" s="533"/>
      <c r="L57" s="534" t="s">
        <v>3040</v>
      </c>
      <c r="M57" s="533"/>
      <c r="N57" s="927" t="str">
        <f>cst_wskakunin_sekou1_TEL_dsp</f>
        <v>（075）　931-1191</v>
      </c>
      <c r="O57" s="927"/>
      <c r="P57" s="927"/>
      <c r="Q57" s="927"/>
      <c r="R57" s="927"/>
      <c r="S57" s="927"/>
      <c r="T57" s="927"/>
      <c r="U57" s="533"/>
      <c r="V57" s="532" t="s">
        <v>2868</v>
      </c>
      <c r="W57" s="867" t="str">
        <f>cst_wskakunin_sekou1_SEKOU_SIKAKU</f>
        <v>京都府知事</v>
      </c>
      <c r="X57" s="867"/>
      <c r="Y57" s="867"/>
      <c r="Z57" s="531" t="s">
        <v>3178</v>
      </c>
      <c r="AA57" s="531"/>
      <c r="AB57" s="940" t="str">
        <f>cst_wskakunin_sekou1_SEKOU_NO</f>
        <v>般-3　1675</v>
      </c>
      <c r="AC57" s="940"/>
      <c r="AD57" s="940"/>
      <c r="AE57" s="940"/>
      <c r="AF57" s="530" t="s">
        <v>2762</v>
      </c>
    </row>
    <row r="58" spans="2:32" s="529" customFormat="1" ht="12.95" customHeight="1">
      <c r="B58" s="874"/>
      <c r="C58" s="875"/>
      <c r="D58" s="875"/>
      <c r="E58" s="875"/>
      <c r="F58" s="876"/>
      <c r="G58" s="916" t="s">
        <v>3163</v>
      </c>
      <c r="H58" s="917"/>
      <c r="I58" s="918"/>
      <c r="J58" s="545" t="s">
        <v>3135</v>
      </c>
      <c r="K58" s="544"/>
      <c r="L58" s="544"/>
      <c r="M58" s="544"/>
      <c r="N58" s="544"/>
      <c r="O58" s="543"/>
      <c r="P58" s="543"/>
      <c r="Q58" s="543"/>
      <c r="R58" s="543"/>
      <c r="S58" s="543"/>
      <c r="T58" s="543"/>
      <c r="U58" s="543"/>
      <c r="V58" s="543"/>
      <c r="W58" s="543"/>
      <c r="X58" s="543"/>
      <c r="Y58" s="543"/>
      <c r="Z58" s="543"/>
      <c r="AA58" s="543"/>
      <c r="AB58" s="543"/>
      <c r="AC58" s="543"/>
      <c r="AD58" s="543"/>
      <c r="AE58" s="543"/>
      <c r="AF58" s="542"/>
    </row>
    <row r="59" spans="2:32" s="529" customFormat="1" ht="12.95" customHeight="1">
      <c r="B59" s="874"/>
      <c r="C59" s="875"/>
      <c r="D59" s="875"/>
      <c r="E59" s="875"/>
      <c r="F59" s="876"/>
      <c r="G59" s="919"/>
      <c r="H59" s="893"/>
      <c r="I59" s="920"/>
      <c r="J59" s="921"/>
      <c r="K59" s="897"/>
      <c r="L59" s="897"/>
      <c r="M59" s="897"/>
      <c r="N59" s="897"/>
      <c r="O59" s="897"/>
      <c r="P59" s="897"/>
      <c r="Q59" s="897"/>
      <c r="R59" s="897"/>
      <c r="S59" s="897"/>
      <c r="T59" s="897"/>
      <c r="U59" s="897"/>
      <c r="V59" s="897"/>
      <c r="W59" s="897"/>
      <c r="X59" s="897"/>
      <c r="Y59" s="897"/>
      <c r="Z59" s="897"/>
      <c r="AA59" s="897"/>
      <c r="AB59" s="897"/>
      <c r="AC59" s="897"/>
      <c r="AD59" s="897"/>
      <c r="AE59" s="897"/>
      <c r="AF59" s="922"/>
    </row>
    <row r="60" spans="2:32" s="529" customFormat="1" ht="12.95" customHeight="1">
      <c r="B60" s="874"/>
      <c r="C60" s="875"/>
      <c r="D60" s="875"/>
      <c r="E60" s="875"/>
      <c r="F60" s="876"/>
      <c r="G60" s="919"/>
      <c r="H60" s="893"/>
      <c r="I60" s="920"/>
      <c r="J60" s="923" t="s">
        <v>3136</v>
      </c>
      <c r="K60" s="924"/>
      <c r="L60" s="924"/>
      <c r="M60" s="924"/>
      <c r="N60" s="924"/>
      <c r="O60" s="924"/>
      <c r="P60" s="924"/>
      <c r="Q60" s="924"/>
      <c r="R60" s="924"/>
      <c r="S60" s="924"/>
      <c r="T60" s="924"/>
      <c r="U60" s="541"/>
      <c r="V60" s="529" t="s">
        <v>1474</v>
      </c>
      <c r="W60" s="540"/>
      <c r="X60" s="539"/>
      <c r="Y60" s="539"/>
      <c r="AF60" s="536"/>
    </row>
    <row r="61" spans="2:32" s="529" customFormat="1" ht="12.95" customHeight="1">
      <c r="B61" s="874"/>
      <c r="C61" s="875"/>
      <c r="D61" s="875"/>
      <c r="E61" s="875"/>
      <c r="F61" s="876"/>
      <c r="G61" s="919"/>
      <c r="H61" s="893"/>
      <c r="I61" s="920"/>
      <c r="J61" s="925"/>
      <c r="K61" s="926"/>
      <c r="L61" s="926"/>
      <c r="M61" s="926"/>
      <c r="N61" s="926"/>
      <c r="O61" s="926"/>
      <c r="P61" s="926"/>
      <c r="Q61" s="926"/>
      <c r="R61" s="926"/>
      <c r="S61" s="926"/>
      <c r="T61" s="926"/>
      <c r="V61" s="662" t="s">
        <v>2745</v>
      </c>
      <c r="W61" s="529" t="s">
        <v>3176</v>
      </c>
      <c r="X61" s="538"/>
      <c r="Y61" s="538"/>
      <c r="Z61" s="538"/>
      <c r="AA61" s="538"/>
      <c r="AB61" s="662" t="s">
        <v>2745</v>
      </c>
      <c r="AC61" s="529" t="s">
        <v>3177</v>
      </c>
      <c r="AD61" s="537"/>
      <c r="AE61" s="537"/>
      <c r="AF61" s="536"/>
    </row>
    <row r="62" spans="2:32" s="529" customFormat="1" ht="12.95" customHeight="1">
      <c r="B62" s="877"/>
      <c r="C62" s="878"/>
      <c r="D62" s="878"/>
      <c r="E62" s="878"/>
      <c r="F62" s="879"/>
      <c r="G62" s="919"/>
      <c r="H62" s="893"/>
      <c r="I62" s="920"/>
      <c r="J62" s="535"/>
      <c r="K62" s="533"/>
      <c r="L62" s="534" t="s">
        <v>3040</v>
      </c>
      <c r="M62" s="533"/>
      <c r="N62" s="880" t="s">
        <v>3173</v>
      </c>
      <c r="O62" s="880"/>
      <c r="P62" s="880"/>
      <c r="Q62" s="880"/>
      <c r="R62" s="880"/>
      <c r="S62" s="880"/>
      <c r="T62" s="880"/>
      <c r="U62" s="533"/>
      <c r="V62" s="532" t="s">
        <v>2868</v>
      </c>
      <c r="W62" s="865"/>
      <c r="X62" s="865"/>
      <c r="Y62" s="865"/>
      <c r="Z62" s="531" t="s">
        <v>3178</v>
      </c>
      <c r="AA62" s="531"/>
      <c r="AB62" s="941"/>
      <c r="AC62" s="941"/>
      <c r="AD62" s="941"/>
      <c r="AE62" s="941"/>
      <c r="AF62" s="530" t="s">
        <v>2762</v>
      </c>
    </row>
    <row r="63" spans="2:32" s="529" customFormat="1" ht="12.95" customHeight="1">
      <c r="B63" s="906" t="s">
        <v>3179</v>
      </c>
      <c r="C63" s="907"/>
      <c r="D63" s="907"/>
      <c r="E63" s="907"/>
      <c r="F63" s="907"/>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2"/>
    </row>
    <row r="64" spans="2:32" s="529" customFormat="1" ht="12.95" customHeight="1">
      <c r="B64" s="908"/>
      <c r="C64" s="909"/>
      <c r="D64" s="909"/>
      <c r="E64" s="909"/>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5"/>
    </row>
    <row r="65" spans="2:24" ht="12" customHeight="1">
      <c r="B65" s="529" t="s">
        <v>3180</v>
      </c>
      <c r="C65" s="529"/>
      <c r="D65" s="529"/>
      <c r="E65" s="529"/>
      <c r="F65" s="529"/>
      <c r="G65" s="529"/>
      <c r="H65" s="529"/>
      <c r="I65" s="529"/>
      <c r="J65" s="529"/>
      <c r="K65" s="529"/>
      <c r="L65" s="529"/>
      <c r="M65" s="529"/>
      <c r="N65" s="529"/>
      <c r="O65" s="529"/>
      <c r="P65" s="529"/>
      <c r="Q65" s="529"/>
      <c r="R65" s="529"/>
      <c r="S65" s="529" t="s">
        <v>3181</v>
      </c>
      <c r="T65" s="529"/>
      <c r="V65" s="529"/>
      <c r="W65" s="529"/>
      <c r="X65" s="529"/>
    </row>
    <row r="66" spans="2:24" ht="12" customHeight="1">
      <c r="B66" s="529" t="s">
        <v>3182</v>
      </c>
      <c r="D66" s="529"/>
      <c r="E66" s="529"/>
      <c r="F66" s="529"/>
      <c r="G66" s="529"/>
      <c r="H66" s="529"/>
      <c r="I66" s="529"/>
      <c r="J66" s="529"/>
      <c r="K66" s="529"/>
      <c r="L66" s="529"/>
      <c r="M66" s="529"/>
      <c r="N66" s="529"/>
      <c r="O66" s="529"/>
      <c r="P66" s="529"/>
      <c r="Q66" s="529"/>
      <c r="R66" s="529"/>
      <c r="S66" s="529" t="s">
        <v>3183</v>
      </c>
      <c r="T66" s="529"/>
      <c r="V66" s="529"/>
      <c r="W66" s="529"/>
      <c r="X66" s="529"/>
    </row>
    <row r="67" spans="2:24" ht="6" customHeight="1"/>
  </sheetData>
  <mergeCells count="99">
    <mergeCell ref="R8:AE9"/>
    <mergeCell ref="B23:F30"/>
    <mergeCell ref="G27:I30"/>
    <mergeCell ref="W26:X26"/>
    <mergeCell ref="G23:I26"/>
    <mergeCell ref="J24:AF24"/>
    <mergeCell ref="J26:U26"/>
    <mergeCell ref="Y26:AF26"/>
    <mergeCell ref="J30:U30"/>
    <mergeCell ref="B14:AF14"/>
    <mergeCell ref="L18:M18"/>
    <mergeCell ref="J20:K20"/>
    <mergeCell ref="B22:F22"/>
    <mergeCell ref="T20:V20"/>
    <mergeCell ref="G41:I46"/>
    <mergeCell ref="G31:I35"/>
    <mergeCell ref="O31:AF31"/>
    <mergeCell ref="G36:I40"/>
    <mergeCell ref="AC33:AE33"/>
    <mergeCell ref="N35:U35"/>
    <mergeCell ref="L37:T37"/>
    <mergeCell ref="AC45:AE45"/>
    <mergeCell ref="J46:P46"/>
    <mergeCell ref="Q46:AF46"/>
    <mergeCell ref="N45:U45"/>
    <mergeCell ref="L38:T38"/>
    <mergeCell ref="W45:X45"/>
    <mergeCell ref="J56:T56"/>
    <mergeCell ref="W57:Y57"/>
    <mergeCell ref="AB57:AE57"/>
    <mergeCell ref="W62:Y62"/>
    <mergeCell ref="AB62:AE62"/>
    <mergeCell ref="N62:T62"/>
    <mergeCell ref="W51:X51"/>
    <mergeCell ref="G47:I52"/>
    <mergeCell ref="J52:P52"/>
    <mergeCell ref="L48:T48"/>
    <mergeCell ref="X48:Y48"/>
    <mergeCell ref="N51:U51"/>
    <mergeCell ref="Q52:AF52"/>
    <mergeCell ref="AC51:AE51"/>
    <mergeCell ref="L49:T49"/>
    <mergeCell ref="O47:AF47"/>
    <mergeCell ref="AC49:AE49"/>
    <mergeCell ref="B63:F64"/>
    <mergeCell ref="G63:AF63"/>
    <mergeCell ref="G64:AF64"/>
    <mergeCell ref="B41:F52"/>
    <mergeCell ref="G58:I62"/>
    <mergeCell ref="J59:AF59"/>
    <mergeCell ref="J60:T60"/>
    <mergeCell ref="J61:T61"/>
    <mergeCell ref="N57:T57"/>
    <mergeCell ref="N50:U50"/>
    <mergeCell ref="X49:Z49"/>
    <mergeCell ref="B53:F62"/>
    <mergeCell ref="G53:I57"/>
    <mergeCell ref="J54:AF54"/>
    <mergeCell ref="J55:T55"/>
    <mergeCell ref="X50:Y50"/>
    <mergeCell ref="AH36:AH40"/>
    <mergeCell ref="L43:T43"/>
    <mergeCell ref="X43:Z43"/>
    <mergeCell ref="N44:U44"/>
    <mergeCell ref="X38:Z38"/>
    <mergeCell ref="AC38:AE38"/>
    <mergeCell ref="X42:Y42"/>
    <mergeCell ref="AC43:AE43"/>
    <mergeCell ref="O41:AF41"/>
    <mergeCell ref="X37:Y37"/>
    <mergeCell ref="X44:Y44"/>
    <mergeCell ref="N39:U39"/>
    <mergeCell ref="X39:Y39"/>
    <mergeCell ref="W40:X40"/>
    <mergeCell ref="L42:T42"/>
    <mergeCell ref="N40:U40"/>
    <mergeCell ref="AH31:AH35"/>
    <mergeCell ref="L32:T32"/>
    <mergeCell ref="X33:Z33"/>
    <mergeCell ref="X34:Y34"/>
    <mergeCell ref="N34:U34"/>
    <mergeCell ref="L33:T33"/>
    <mergeCell ref="AC35:AE35"/>
    <mergeCell ref="B2:AD2"/>
    <mergeCell ref="AC40:AE40"/>
    <mergeCell ref="C16:AD16"/>
    <mergeCell ref="W35:X35"/>
    <mergeCell ref="J28:AF28"/>
    <mergeCell ref="B31:F40"/>
    <mergeCell ref="Y30:AF30"/>
    <mergeCell ref="X32:Y32"/>
    <mergeCell ref="O36:AF36"/>
    <mergeCell ref="O18:P18"/>
    <mergeCell ref="R18:S18"/>
    <mergeCell ref="L20:M20"/>
    <mergeCell ref="N20:O20"/>
    <mergeCell ref="P20:S20"/>
    <mergeCell ref="W30:X30"/>
    <mergeCell ref="R11:AE12"/>
  </mergeCells>
  <phoneticPr fontId="7"/>
  <dataValidations count="4">
    <dataValidation type="list" allowBlank="1" showInputMessage="1" sqref="N20:O20" xr:uid="{B2F7FB0D-81D3-4A76-A242-251CA5CAC963}">
      <formula1>"　 ,確認,確更"</formula1>
    </dataValidation>
    <dataValidation type="list" allowBlank="1" showInputMessage="1" sqref="P20:S20" xr:uid="{F2760472-3D16-47FB-9C90-9A6D80278141}">
      <formula1>"　,建築ＩＰＥＣ,昇降ＩＰＥＣ,工作ＩＰＥＣ,設備ＩＰＥＣ"</formula1>
    </dataValidation>
    <dataValidation type="list" allowBlank="1" showInputMessage="1" showErrorMessage="1" sqref="K21:O21 JG21:JK21 TC21:TG21 ACY21:ADC21 AMU21:AMY21 AWQ21:AWU21 BGM21:BGQ21 BQI21:BQM21 CAE21:CAI21 CKA21:CKE21 CTW21:CUA21 DDS21:DDW21 DNO21:DNS21 DXK21:DXO21 EHG21:EHK21 ERC21:ERG21 FAY21:FBC21 FKU21:FKY21 FUQ21:FUU21 GEM21:GEQ21 GOI21:GOM21 GYE21:GYI21 HIA21:HIE21 HRW21:HSA21 IBS21:IBW21 ILO21:ILS21 IVK21:IVO21 JFG21:JFK21 JPC21:JPG21 JYY21:JZC21 KIU21:KIY21 KSQ21:KSU21 LCM21:LCQ21 LMI21:LMM21 LWE21:LWI21 MGA21:MGE21 MPW21:MQA21 MZS21:MZW21 NJO21:NJS21 NTK21:NTO21 ODG21:ODK21 ONC21:ONG21 OWY21:OXC21 PGU21:PGY21 PQQ21:PQU21 QAM21:QAQ21 QKI21:QKM21 QUE21:QUI21 REA21:REE21 RNW21:ROA21 RXS21:RXW21 SHO21:SHS21 SRK21:SRO21 TBG21:TBK21 TLC21:TLG21 TUY21:TVC21 UEU21:UEY21 UOQ21:UOU21 UYM21:UYQ21 VII21:VIM21 VSE21:VSI21 WCA21:WCE21 WLW21:WMA21 WVS21:WVW21 K65557:O65557 JG65557:JK65557 TC65557:TG65557 ACY65557:ADC65557 AMU65557:AMY65557 AWQ65557:AWU65557 BGM65557:BGQ65557 BQI65557:BQM65557 CAE65557:CAI65557 CKA65557:CKE65557 CTW65557:CUA65557 DDS65557:DDW65557 DNO65557:DNS65557 DXK65557:DXO65557 EHG65557:EHK65557 ERC65557:ERG65557 FAY65557:FBC65557 FKU65557:FKY65557 FUQ65557:FUU65557 GEM65557:GEQ65557 GOI65557:GOM65557 GYE65557:GYI65557 HIA65557:HIE65557 HRW65557:HSA65557 IBS65557:IBW65557 ILO65557:ILS65557 IVK65557:IVO65557 JFG65557:JFK65557 JPC65557:JPG65557 JYY65557:JZC65557 KIU65557:KIY65557 KSQ65557:KSU65557 LCM65557:LCQ65557 LMI65557:LMM65557 LWE65557:LWI65557 MGA65557:MGE65557 MPW65557:MQA65557 MZS65557:MZW65557 NJO65557:NJS65557 NTK65557:NTO65557 ODG65557:ODK65557 ONC65557:ONG65557 OWY65557:OXC65557 PGU65557:PGY65557 PQQ65557:PQU65557 QAM65557:QAQ65557 QKI65557:QKM65557 QUE65557:QUI65557 REA65557:REE65557 RNW65557:ROA65557 RXS65557:RXW65557 SHO65557:SHS65557 SRK65557:SRO65557 TBG65557:TBK65557 TLC65557:TLG65557 TUY65557:TVC65557 UEU65557:UEY65557 UOQ65557:UOU65557 UYM65557:UYQ65557 VII65557:VIM65557 VSE65557:VSI65557 WCA65557:WCE65557 WLW65557:WMA65557 WVS65557:WVW65557 K131093:O131093 JG131093:JK131093 TC131093:TG131093 ACY131093:ADC131093 AMU131093:AMY131093 AWQ131093:AWU131093 BGM131093:BGQ131093 BQI131093:BQM131093 CAE131093:CAI131093 CKA131093:CKE131093 CTW131093:CUA131093 DDS131093:DDW131093 DNO131093:DNS131093 DXK131093:DXO131093 EHG131093:EHK131093 ERC131093:ERG131093 FAY131093:FBC131093 FKU131093:FKY131093 FUQ131093:FUU131093 GEM131093:GEQ131093 GOI131093:GOM131093 GYE131093:GYI131093 HIA131093:HIE131093 HRW131093:HSA131093 IBS131093:IBW131093 ILO131093:ILS131093 IVK131093:IVO131093 JFG131093:JFK131093 JPC131093:JPG131093 JYY131093:JZC131093 KIU131093:KIY131093 KSQ131093:KSU131093 LCM131093:LCQ131093 LMI131093:LMM131093 LWE131093:LWI131093 MGA131093:MGE131093 MPW131093:MQA131093 MZS131093:MZW131093 NJO131093:NJS131093 NTK131093:NTO131093 ODG131093:ODK131093 ONC131093:ONG131093 OWY131093:OXC131093 PGU131093:PGY131093 PQQ131093:PQU131093 QAM131093:QAQ131093 QKI131093:QKM131093 QUE131093:QUI131093 REA131093:REE131093 RNW131093:ROA131093 RXS131093:RXW131093 SHO131093:SHS131093 SRK131093:SRO131093 TBG131093:TBK131093 TLC131093:TLG131093 TUY131093:TVC131093 UEU131093:UEY131093 UOQ131093:UOU131093 UYM131093:UYQ131093 VII131093:VIM131093 VSE131093:VSI131093 WCA131093:WCE131093 WLW131093:WMA131093 WVS131093:WVW131093 K196629:O196629 JG196629:JK196629 TC196629:TG196629 ACY196629:ADC196629 AMU196629:AMY196629 AWQ196629:AWU196629 BGM196629:BGQ196629 BQI196629:BQM196629 CAE196629:CAI196629 CKA196629:CKE196629 CTW196629:CUA196629 DDS196629:DDW196629 DNO196629:DNS196629 DXK196629:DXO196629 EHG196629:EHK196629 ERC196629:ERG196629 FAY196629:FBC196629 FKU196629:FKY196629 FUQ196629:FUU196629 GEM196629:GEQ196629 GOI196629:GOM196629 GYE196629:GYI196629 HIA196629:HIE196629 HRW196629:HSA196629 IBS196629:IBW196629 ILO196629:ILS196629 IVK196629:IVO196629 JFG196629:JFK196629 JPC196629:JPG196629 JYY196629:JZC196629 KIU196629:KIY196629 KSQ196629:KSU196629 LCM196629:LCQ196629 LMI196629:LMM196629 LWE196629:LWI196629 MGA196629:MGE196629 MPW196629:MQA196629 MZS196629:MZW196629 NJO196629:NJS196629 NTK196629:NTO196629 ODG196629:ODK196629 ONC196629:ONG196629 OWY196629:OXC196629 PGU196629:PGY196629 PQQ196629:PQU196629 QAM196629:QAQ196629 QKI196629:QKM196629 QUE196629:QUI196629 REA196629:REE196629 RNW196629:ROA196629 RXS196629:RXW196629 SHO196629:SHS196629 SRK196629:SRO196629 TBG196629:TBK196629 TLC196629:TLG196629 TUY196629:TVC196629 UEU196629:UEY196629 UOQ196629:UOU196629 UYM196629:UYQ196629 VII196629:VIM196629 VSE196629:VSI196629 WCA196629:WCE196629 WLW196629:WMA196629 WVS196629:WVW196629 K262165:O262165 JG262165:JK262165 TC262165:TG262165 ACY262165:ADC262165 AMU262165:AMY262165 AWQ262165:AWU262165 BGM262165:BGQ262165 BQI262165:BQM262165 CAE262165:CAI262165 CKA262165:CKE262165 CTW262165:CUA262165 DDS262165:DDW262165 DNO262165:DNS262165 DXK262165:DXO262165 EHG262165:EHK262165 ERC262165:ERG262165 FAY262165:FBC262165 FKU262165:FKY262165 FUQ262165:FUU262165 GEM262165:GEQ262165 GOI262165:GOM262165 GYE262165:GYI262165 HIA262165:HIE262165 HRW262165:HSA262165 IBS262165:IBW262165 ILO262165:ILS262165 IVK262165:IVO262165 JFG262165:JFK262165 JPC262165:JPG262165 JYY262165:JZC262165 KIU262165:KIY262165 KSQ262165:KSU262165 LCM262165:LCQ262165 LMI262165:LMM262165 LWE262165:LWI262165 MGA262165:MGE262165 MPW262165:MQA262165 MZS262165:MZW262165 NJO262165:NJS262165 NTK262165:NTO262165 ODG262165:ODK262165 ONC262165:ONG262165 OWY262165:OXC262165 PGU262165:PGY262165 PQQ262165:PQU262165 QAM262165:QAQ262165 QKI262165:QKM262165 QUE262165:QUI262165 REA262165:REE262165 RNW262165:ROA262165 RXS262165:RXW262165 SHO262165:SHS262165 SRK262165:SRO262165 TBG262165:TBK262165 TLC262165:TLG262165 TUY262165:TVC262165 UEU262165:UEY262165 UOQ262165:UOU262165 UYM262165:UYQ262165 VII262165:VIM262165 VSE262165:VSI262165 WCA262165:WCE262165 WLW262165:WMA262165 WVS262165:WVW262165 K327701:O327701 JG327701:JK327701 TC327701:TG327701 ACY327701:ADC327701 AMU327701:AMY327701 AWQ327701:AWU327701 BGM327701:BGQ327701 BQI327701:BQM327701 CAE327701:CAI327701 CKA327701:CKE327701 CTW327701:CUA327701 DDS327701:DDW327701 DNO327701:DNS327701 DXK327701:DXO327701 EHG327701:EHK327701 ERC327701:ERG327701 FAY327701:FBC327701 FKU327701:FKY327701 FUQ327701:FUU327701 GEM327701:GEQ327701 GOI327701:GOM327701 GYE327701:GYI327701 HIA327701:HIE327701 HRW327701:HSA327701 IBS327701:IBW327701 ILO327701:ILS327701 IVK327701:IVO327701 JFG327701:JFK327701 JPC327701:JPG327701 JYY327701:JZC327701 KIU327701:KIY327701 KSQ327701:KSU327701 LCM327701:LCQ327701 LMI327701:LMM327701 LWE327701:LWI327701 MGA327701:MGE327701 MPW327701:MQA327701 MZS327701:MZW327701 NJO327701:NJS327701 NTK327701:NTO327701 ODG327701:ODK327701 ONC327701:ONG327701 OWY327701:OXC327701 PGU327701:PGY327701 PQQ327701:PQU327701 QAM327701:QAQ327701 QKI327701:QKM327701 QUE327701:QUI327701 REA327701:REE327701 RNW327701:ROA327701 RXS327701:RXW327701 SHO327701:SHS327701 SRK327701:SRO327701 TBG327701:TBK327701 TLC327701:TLG327701 TUY327701:TVC327701 UEU327701:UEY327701 UOQ327701:UOU327701 UYM327701:UYQ327701 VII327701:VIM327701 VSE327701:VSI327701 WCA327701:WCE327701 WLW327701:WMA327701 WVS327701:WVW327701 K393237:O393237 JG393237:JK393237 TC393237:TG393237 ACY393237:ADC393237 AMU393237:AMY393237 AWQ393237:AWU393237 BGM393237:BGQ393237 BQI393237:BQM393237 CAE393237:CAI393237 CKA393237:CKE393237 CTW393237:CUA393237 DDS393237:DDW393237 DNO393237:DNS393237 DXK393237:DXO393237 EHG393237:EHK393237 ERC393237:ERG393237 FAY393237:FBC393237 FKU393237:FKY393237 FUQ393237:FUU393237 GEM393237:GEQ393237 GOI393237:GOM393237 GYE393237:GYI393237 HIA393237:HIE393237 HRW393237:HSA393237 IBS393237:IBW393237 ILO393237:ILS393237 IVK393237:IVO393237 JFG393237:JFK393237 JPC393237:JPG393237 JYY393237:JZC393237 KIU393237:KIY393237 KSQ393237:KSU393237 LCM393237:LCQ393237 LMI393237:LMM393237 LWE393237:LWI393237 MGA393237:MGE393237 MPW393237:MQA393237 MZS393237:MZW393237 NJO393237:NJS393237 NTK393237:NTO393237 ODG393237:ODK393237 ONC393237:ONG393237 OWY393237:OXC393237 PGU393237:PGY393237 PQQ393237:PQU393237 QAM393237:QAQ393237 QKI393237:QKM393237 QUE393237:QUI393237 REA393237:REE393237 RNW393237:ROA393237 RXS393237:RXW393237 SHO393237:SHS393237 SRK393237:SRO393237 TBG393237:TBK393237 TLC393237:TLG393237 TUY393237:TVC393237 UEU393237:UEY393237 UOQ393237:UOU393237 UYM393237:UYQ393237 VII393237:VIM393237 VSE393237:VSI393237 WCA393237:WCE393237 WLW393237:WMA393237 WVS393237:WVW393237 K458773:O458773 JG458773:JK458773 TC458773:TG458773 ACY458773:ADC458773 AMU458773:AMY458773 AWQ458773:AWU458773 BGM458773:BGQ458773 BQI458773:BQM458773 CAE458773:CAI458773 CKA458773:CKE458773 CTW458773:CUA458773 DDS458773:DDW458773 DNO458773:DNS458773 DXK458773:DXO458773 EHG458773:EHK458773 ERC458773:ERG458773 FAY458773:FBC458773 FKU458773:FKY458773 FUQ458773:FUU458773 GEM458773:GEQ458773 GOI458773:GOM458773 GYE458773:GYI458773 HIA458773:HIE458773 HRW458773:HSA458773 IBS458773:IBW458773 ILO458773:ILS458773 IVK458773:IVO458773 JFG458773:JFK458773 JPC458773:JPG458773 JYY458773:JZC458773 KIU458773:KIY458773 KSQ458773:KSU458773 LCM458773:LCQ458773 LMI458773:LMM458773 LWE458773:LWI458773 MGA458773:MGE458773 MPW458773:MQA458773 MZS458773:MZW458773 NJO458773:NJS458773 NTK458773:NTO458773 ODG458773:ODK458773 ONC458773:ONG458773 OWY458773:OXC458773 PGU458773:PGY458773 PQQ458773:PQU458773 QAM458773:QAQ458773 QKI458773:QKM458773 QUE458773:QUI458773 REA458773:REE458773 RNW458773:ROA458773 RXS458773:RXW458773 SHO458773:SHS458773 SRK458773:SRO458773 TBG458773:TBK458773 TLC458773:TLG458773 TUY458773:TVC458773 UEU458773:UEY458773 UOQ458773:UOU458773 UYM458773:UYQ458773 VII458773:VIM458773 VSE458773:VSI458773 WCA458773:WCE458773 WLW458773:WMA458773 WVS458773:WVW458773 K524309:O524309 JG524309:JK524309 TC524309:TG524309 ACY524309:ADC524309 AMU524309:AMY524309 AWQ524309:AWU524309 BGM524309:BGQ524309 BQI524309:BQM524309 CAE524309:CAI524309 CKA524309:CKE524309 CTW524309:CUA524309 DDS524309:DDW524309 DNO524309:DNS524309 DXK524309:DXO524309 EHG524309:EHK524309 ERC524309:ERG524309 FAY524309:FBC524309 FKU524309:FKY524309 FUQ524309:FUU524309 GEM524309:GEQ524309 GOI524309:GOM524309 GYE524309:GYI524309 HIA524309:HIE524309 HRW524309:HSA524309 IBS524309:IBW524309 ILO524309:ILS524309 IVK524309:IVO524309 JFG524309:JFK524309 JPC524309:JPG524309 JYY524309:JZC524309 KIU524309:KIY524309 KSQ524309:KSU524309 LCM524309:LCQ524309 LMI524309:LMM524309 LWE524309:LWI524309 MGA524309:MGE524309 MPW524309:MQA524309 MZS524309:MZW524309 NJO524309:NJS524309 NTK524309:NTO524309 ODG524309:ODK524309 ONC524309:ONG524309 OWY524309:OXC524309 PGU524309:PGY524309 PQQ524309:PQU524309 QAM524309:QAQ524309 QKI524309:QKM524309 QUE524309:QUI524309 REA524309:REE524309 RNW524309:ROA524309 RXS524309:RXW524309 SHO524309:SHS524309 SRK524309:SRO524309 TBG524309:TBK524309 TLC524309:TLG524309 TUY524309:TVC524309 UEU524309:UEY524309 UOQ524309:UOU524309 UYM524309:UYQ524309 VII524309:VIM524309 VSE524309:VSI524309 WCA524309:WCE524309 WLW524309:WMA524309 WVS524309:WVW524309 K589845:O589845 JG589845:JK589845 TC589845:TG589845 ACY589845:ADC589845 AMU589845:AMY589845 AWQ589845:AWU589845 BGM589845:BGQ589845 BQI589845:BQM589845 CAE589845:CAI589845 CKA589845:CKE589845 CTW589845:CUA589845 DDS589845:DDW589845 DNO589845:DNS589845 DXK589845:DXO589845 EHG589845:EHK589845 ERC589845:ERG589845 FAY589845:FBC589845 FKU589845:FKY589845 FUQ589845:FUU589845 GEM589845:GEQ589845 GOI589845:GOM589845 GYE589845:GYI589845 HIA589845:HIE589845 HRW589845:HSA589845 IBS589845:IBW589845 ILO589845:ILS589845 IVK589845:IVO589845 JFG589845:JFK589845 JPC589845:JPG589845 JYY589845:JZC589845 KIU589845:KIY589845 KSQ589845:KSU589845 LCM589845:LCQ589845 LMI589845:LMM589845 LWE589845:LWI589845 MGA589845:MGE589845 MPW589845:MQA589845 MZS589845:MZW589845 NJO589845:NJS589845 NTK589845:NTO589845 ODG589845:ODK589845 ONC589845:ONG589845 OWY589845:OXC589845 PGU589845:PGY589845 PQQ589845:PQU589845 QAM589845:QAQ589845 QKI589845:QKM589845 QUE589845:QUI589845 REA589845:REE589845 RNW589845:ROA589845 RXS589845:RXW589845 SHO589845:SHS589845 SRK589845:SRO589845 TBG589845:TBK589845 TLC589845:TLG589845 TUY589845:TVC589845 UEU589845:UEY589845 UOQ589845:UOU589845 UYM589845:UYQ589845 VII589845:VIM589845 VSE589845:VSI589845 WCA589845:WCE589845 WLW589845:WMA589845 WVS589845:WVW589845 K655381:O655381 JG655381:JK655381 TC655381:TG655381 ACY655381:ADC655381 AMU655381:AMY655381 AWQ655381:AWU655381 BGM655381:BGQ655381 BQI655381:BQM655381 CAE655381:CAI655381 CKA655381:CKE655381 CTW655381:CUA655381 DDS655381:DDW655381 DNO655381:DNS655381 DXK655381:DXO655381 EHG655381:EHK655381 ERC655381:ERG655381 FAY655381:FBC655381 FKU655381:FKY655381 FUQ655381:FUU655381 GEM655381:GEQ655381 GOI655381:GOM655381 GYE655381:GYI655381 HIA655381:HIE655381 HRW655381:HSA655381 IBS655381:IBW655381 ILO655381:ILS655381 IVK655381:IVO655381 JFG655381:JFK655381 JPC655381:JPG655381 JYY655381:JZC655381 KIU655381:KIY655381 KSQ655381:KSU655381 LCM655381:LCQ655381 LMI655381:LMM655381 LWE655381:LWI655381 MGA655381:MGE655381 MPW655381:MQA655381 MZS655381:MZW655381 NJO655381:NJS655381 NTK655381:NTO655381 ODG655381:ODK655381 ONC655381:ONG655381 OWY655381:OXC655381 PGU655381:PGY655381 PQQ655381:PQU655381 QAM655381:QAQ655381 QKI655381:QKM655381 QUE655381:QUI655381 REA655381:REE655381 RNW655381:ROA655381 RXS655381:RXW655381 SHO655381:SHS655381 SRK655381:SRO655381 TBG655381:TBK655381 TLC655381:TLG655381 TUY655381:TVC655381 UEU655381:UEY655381 UOQ655381:UOU655381 UYM655381:UYQ655381 VII655381:VIM655381 VSE655381:VSI655381 WCA655381:WCE655381 WLW655381:WMA655381 WVS655381:WVW655381 K720917:O720917 JG720917:JK720917 TC720917:TG720917 ACY720917:ADC720917 AMU720917:AMY720917 AWQ720917:AWU720917 BGM720917:BGQ720917 BQI720917:BQM720917 CAE720917:CAI720917 CKA720917:CKE720917 CTW720917:CUA720917 DDS720917:DDW720917 DNO720917:DNS720917 DXK720917:DXO720917 EHG720917:EHK720917 ERC720917:ERG720917 FAY720917:FBC720917 FKU720917:FKY720917 FUQ720917:FUU720917 GEM720917:GEQ720917 GOI720917:GOM720917 GYE720917:GYI720917 HIA720917:HIE720917 HRW720917:HSA720917 IBS720917:IBW720917 ILO720917:ILS720917 IVK720917:IVO720917 JFG720917:JFK720917 JPC720917:JPG720917 JYY720917:JZC720917 KIU720917:KIY720917 KSQ720917:KSU720917 LCM720917:LCQ720917 LMI720917:LMM720917 LWE720917:LWI720917 MGA720917:MGE720917 MPW720917:MQA720917 MZS720917:MZW720917 NJO720917:NJS720917 NTK720917:NTO720917 ODG720917:ODK720917 ONC720917:ONG720917 OWY720917:OXC720917 PGU720917:PGY720917 PQQ720917:PQU720917 QAM720917:QAQ720917 QKI720917:QKM720917 QUE720917:QUI720917 REA720917:REE720917 RNW720917:ROA720917 RXS720917:RXW720917 SHO720917:SHS720917 SRK720917:SRO720917 TBG720917:TBK720917 TLC720917:TLG720917 TUY720917:TVC720917 UEU720917:UEY720917 UOQ720917:UOU720917 UYM720917:UYQ720917 VII720917:VIM720917 VSE720917:VSI720917 WCA720917:WCE720917 WLW720917:WMA720917 WVS720917:WVW720917 K786453:O786453 JG786453:JK786453 TC786453:TG786453 ACY786453:ADC786453 AMU786453:AMY786453 AWQ786453:AWU786453 BGM786453:BGQ786453 BQI786453:BQM786453 CAE786453:CAI786453 CKA786453:CKE786453 CTW786453:CUA786453 DDS786453:DDW786453 DNO786453:DNS786453 DXK786453:DXO786453 EHG786453:EHK786453 ERC786453:ERG786453 FAY786453:FBC786453 FKU786453:FKY786453 FUQ786453:FUU786453 GEM786453:GEQ786453 GOI786453:GOM786453 GYE786453:GYI786453 HIA786453:HIE786453 HRW786453:HSA786453 IBS786453:IBW786453 ILO786453:ILS786453 IVK786453:IVO786453 JFG786453:JFK786453 JPC786453:JPG786453 JYY786453:JZC786453 KIU786453:KIY786453 KSQ786453:KSU786453 LCM786453:LCQ786453 LMI786453:LMM786453 LWE786453:LWI786453 MGA786453:MGE786453 MPW786453:MQA786453 MZS786453:MZW786453 NJO786453:NJS786453 NTK786453:NTO786453 ODG786453:ODK786453 ONC786453:ONG786453 OWY786453:OXC786453 PGU786453:PGY786453 PQQ786453:PQU786453 QAM786453:QAQ786453 QKI786453:QKM786453 QUE786453:QUI786453 REA786453:REE786453 RNW786453:ROA786453 RXS786453:RXW786453 SHO786453:SHS786453 SRK786453:SRO786453 TBG786453:TBK786453 TLC786453:TLG786453 TUY786453:TVC786453 UEU786453:UEY786453 UOQ786453:UOU786453 UYM786453:UYQ786453 VII786453:VIM786453 VSE786453:VSI786453 WCA786453:WCE786453 WLW786453:WMA786453 WVS786453:WVW786453 K851989:O851989 JG851989:JK851989 TC851989:TG851989 ACY851989:ADC851989 AMU851989:AMY851989 AWQ851989:AWU851989 BGM851989:BGQ851989 BQI851989:BQM851989 CAE851989:CAI851989 CKA851989:CKE851989 CTW851989:CUA851989 DDS851989:DDW851989 DNO851989:DNS851989 DXK851989:DXO851989 EHG851989:EHK851989 ERC851989:ERG851989 FAY851989:FBC851989 FKU851989:FKY851989 FUQ851989:FUU851989 GEM851989:GEQ851989 GOI851989:GOM851989 GYE851989:GYI851989 HIA851989:HIE851989 HRW851989:HSA851989 IBS851989:IBW851989 ILO851989:ILS851989 IVK851989:IVO851989 JFG851989:JFK851989 JPC851989:JPG851989 JYY851989:JZC851989 KIU851989:KIY851989 KSQ851989:KSU851989 LCM851989:LCQ851989 LMI851989:LMM851989 LWE851989:LWI851989 MGA851989:MGE851989 MPW851989:MQA851989 MZS851989:MZW851989 NJO851989:NJS851989 NTK851989:NTO851989 ODG851989:ODK851989 ONC851989:ONG851989 OWY851989:OXC851989 PGU851989:PGY851989 PQQ851989:PQU851989 QAM851989:QAQ851989 QKI851989:QKM851989 QUE851989:QUI851989 REA851989:REE851989 RNW851989:ROA851989 RXS851989:RXW851989 SHO851989:SHS851989 SRK851989:SRO851989 TBG851989:TBK851989 TLC851989:TLG851989 TUY851989:TVC851989 UEU851989:UEY851989 UOQ851989:UOU851989 UYM851989:UYQ851989 VII851989:VIM851989 VSE851989:VSI851989 WCA851989:WCE851989 WLW851989:WMA851989 WVS851989:WVW851989 K917525:O917525 JG917525:JK917525 TC917525:TG917525 ACY917525:ADC917525 AMU917525:AMY917525 AWQ917525:AWU917525 BGM917525:BGQ917525 BQI917525:BQM917525 CAE917525:CAI917525 CKA917525:CKE917525 CTW917525:CUA917525 DDS917525:DDW917525 DNO917525:DNS917525 DXK917525:DXO917525 EHG917525:EHK917525 ERC917525:ERG917525 FAY917525:FBC917525 FKU917525:FKY917525 FUQ917525:FUU917525 GEM917525:GEQ917525 GOI917525:GOM917525 GYE917525:GYI917525 HIA917525:HIE917525 HRW917525:HSA917525 IBS917525:IBW917525 ILO917525:ILS917525 IVK917525:IVO917525 JFG917525:JFK917525 JPC917525:JPG917525 JYY917525:JZC917525 KIU917525:KIY917525 KSQ917525:KSU917525 LCM917525:LCQ917525 LMI917525:LMM917525 LWE917525:LWI917525 MGA917525:MGE917525 MPW917525:MQA917525 MZS917525:MZW917525 NJO917525:NJS917525 NTK917525:NTO917525 ODG917525:ODK917525 ONC917525:ONG917525 OWY917525:OXC917525 PGU917525:PGY917525 PQQ917525:PQU917525 QAM917525:QAQ917525 QKI917525:QKM917525 QUE917525:QUI917525 REA917525:REE917525 RNW917525:ROA917525 RXS917525:RXW917525 SHO917525:SHS917525 SRK917525:SRO917525 TBG917525:TBK917525 TLC917525:TLG917525 TUY917525:TVC917525 UEU917525:UEY917525 UOQ917525:UOU917525 UYM917525:UYQ917525 VII917525:VIM917525 VSE917525:VSI917525 WCA917525:WCE917525 WLW917525:WMA917525 WVS917525:WVW917525 K983061:O983061 JG983061:JK983061 TC983061:TG983061 ACY983061:ADC983061 AMU983061:AMY983061 AWQ983061:AWU983061 BGM983061:BGQ983061 BQI983061:BQM983061 CAE983061:CAI983061 CKA983061:CKE983061 CTW983061:CUA983061 DDS983061:DDW983061 DNO983061:DNS983061 DXK983061:DXO983061 EHG983061:EHK983061 ERC983061:ERG983061 FAY983061:FBC983061 FKU983061:FKY983061 FUQ983061:FUU983061 GEM983061:GEQ983061 GOI983061:GOM983061 GYE983061:GYI983061 HIA983061:HIE983061 HRW983061:HSA983061 IBS983061:IBW983061 ILO983061:ILS983061 IVK983061:IVO983061 JFG983061:JFK983061 JPC983061:JPG983061 JYY983061:JZC983061 KIU983061:KIY983061 KSQ983061:KSU983061 LCM983061:LCQ983061 LMI983061:LMM983061 LWE983061:LWI983061 MGA983061:MGE983061 MPW983061:MQA983061 MZS983061:MZW983061 NJO983061:NJS983061 NTK983061:NTO983061 ODG983061:ODK983061 ONC983061:ONG983061 OWY983061:OXC983061 PGU983061:PGY983061 PQQ983061:PQU983061 QAM983061:QAQ983061 QKI983061:QKM983061 QUE983061:QUI983061 REA983061:REE983061 RNW983061:ROA983061 RXS983061:RXW983061 SHO983061:SHS983061 SRK983061:SRO983061 TBG983061:TBK983061 TLC983061:TLG983061 TUY983061:TVC983061 UEU983061:UEY983061 UOQ983061:UOU983061 UYM983061:UYQ983061 VII983061:VIM983061 VSE983061:VSI983061 WCA983061:WCE983061 WLW983061:WMA983061 WVS983061:WVW983061 WVU98306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xr:uid="{80573792-2B26-4BC7-8EB4-C5FD06283EE8}">
      <formula1>$AN$20:$AN$25</formula1>
    </dataValidation>
    <dataValidation imeMode="hiragana" allowBlank="1" showInputMessage="1" showErrorMessage="1" sqref="WMF983061:WMH983061 JS20:JS21 TO20:TO21 ADK20:ADK21 ANG20:ANG21 AXC20:AXC21 BGY20:BGY21 BQU20:BQU21 CAQ20:CAQ21 CKM20:CKM21 CUI20:CUI21 DEE20:DEE21 DOA20:DOA21 DXW20:DXW21 EHS20:EHS21 ERO20:ERO21 FBK20:FBK21 FLG20:FLG21 FVC20:FVC21 GEY20:GEY21 GOU20:GOU21 GYQ20:GYQ21 HIM20:HIM21 HSI20:HSI21 ICE20:ICE21 IMA20:IMA21 IVW20:IVW21 JFS20:JFS21 JPO20:JPO21 JZK20:JZK21 KJG20:KJG21 KTC20:KTC21 LCY20:LCY21 LMU20:LMU21 LWQ20:LWQ21 MGM20:MGM21 MQI20:MQI21 NAE20:NAE21 NKA20:NKA21 NTW20:NTW21 ODS20:ODS21 ONO20:ONO21 OXK20:OXK21 PHG20:PHG21 PRC20:PRC21 QAY20:QAY21 QKU20:QKU21 QUQ20:QUQ21 REM20:REM21 ROI20:ROI21 RYE20:RYE21 SIA20:SIA21 SRW20:SRW21 TBS20:TBS21 TLO20:TLO21 TVK20:TVK21 UFG20:UFG21 UPC20:UPC21 UYY20:UYY21 VIU20:VIU21 VSQ20:VSQ21 WCM20:WCM21 WMI20:WMI21 WWE20:WWE21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WWB983061:WWD983061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JP21:JR21 TL21:TN21 ADH21:ADJ21 AND21:ANF21 AWZ21:AXB21 BGV21:BGX21 BQR21:BQT21 CAN21:CAP21 CKJ21:CKL21 CUF21:CUH21 DEB21:DED21 DNX21:DNZ21 DXT21:DXV21 EHP21:EHR21 ERL21:ERN21 FBH21:FBJ21 FLD21:FLF21 FUZ21:FVB21 GEV21:GEX21 GOR21:GOT21 GYN21:GYP21 HIJ21:HIL21 HSF21:HSH21 ICB21:ICD21 ILX21:ILZ21 IVT21:IVV21 JFP21:JFR21 JPL21:JPN21 JZH21:JZJ21 KJD21:KJF21 KSZ21:KTB21 LCV21:LCX21 LMR21:LMT21 LWN21:LWP21 MGJ21:MGL21 MQF21:MQH21 NAB21:NAD21 NJX21:NJZ21 NTT21:NTV21 ODP21:ODR21 ONL21:ONN21 OXH21:OXJ21 PHD21:PHF21 PQZ21:PRB21 QAV21:QAX21 QKR21:QKT21 QUN21:QUP21 REJ21:REL21 ROF21:ROH21 RYB21:RYD21 SHX21:SHZ21 SRT21:SRV21 TBP21:TBR21 TLL21:TLN21 TVH21:TVJ21 UFD21:UFF21 UOZ21:UPB21 UYV21:UYX21 VIR21:VIT21 VSN21:VSP21 WCJ21:WCL21 WMF21:WMH21 WWB21:WWD21 T65557:V65557 JP65557:JR65557 TL65557:TN65557 ADH65557:ADJ65557 AND65557:ANF65557 AWZ65557:AXB65557 BGV65557:BGX65557 BQR65557:BQT65557 CAN65557:CAP65557 CKJ65557:CKL65557 CUF65557:CUH65557 DEB65557:DED65557 DNX65557:DNZ65557 DXT65557:DXV65557 EHP65557:EHR65557 ERL65557:ERN65557 FBH65557:FBJ65557 FLD65557:FLF65557 FUZ65557:FVB65557 GEV65557:GEX65557 GOR65557:GOT65557 GYN65557:GYP65557 HIJ65557:HIL65557 HSF65557:HSH65557 ICB65557:ICD65557 ILX65557:ILZ65557 IVT65557:IVV65557 JFP65557:JFR65557 JPL65557:JPN65557 JZH65557:JZJ65557 KJD65557:KJF65557 KSZ65557:KTB65557 LCV65557:LCX65557 LMR65557:LMT65557 LWN65557:LWP65557 MGJ65557:MGL65557 MQF65557:MQH65557 NAB65557:NAD65557 NJX65557:NJZ65557 NTT65557:NTV65557 ODP65557:ODR65557 ONL65557:ONN65557 OXH65557:OXJ65557 PHD65557:PHF65557 PQZ65557:PRB65557 QAV65557:QAX65557 QKR65557:QKT65557 QUN65557:QUP65557 REJ65557:REL65557 ROF65557:ROH65557 RYB65557:RYD65557 SHX65557:SHZ65557 SRT65557:SRV65557 TBP65557:TBR65557 TLL65557:TLN65557 TVH65557:TVJ65557 UFD65557:UFF65557 UOZ65557:UPB65557 UYV65557:UYX65557 VIR65557:VIT65557 VSN65557:VSP65557 WCJ65557:WCL65557 WMF65557:WMH65557 WWB65557:WWD65557 T131093:V131093 JP131093:JR131093 TL131093:TN131093 ADH131093:ADJ131093 AND131093:ANF131093 AWZ131093:AXB131093 BGV131093:BGX131093 BQR131093:BQT131093 CAN131093:CAP131093 CKJ131093:CKL131093 CUF131093:CUH131093 DEB131093:DED131093 DNX131093:DNZ131093 DXT131093:DXV131093 EHP131093:EHR131093 ERL131093:ERN131093 FBH131093:FBJ131093 FLD131093:FLF131093 FUZ131093:FVB131093 GEV131093:GEX131093 GOR131093:GOT131093 GYN131093:GYP131093 HIJ131093:HIL131093 HSF131093:HSH131093 ICB131093:ICD131093 ILX131093:ILZ131093 IVT131093:IVV131093 JFP131093:JFR131093 JPL131093:JPN131093 JZH131093:JZJ131093 KJD131093:KJF131093 KSZ131093:KTB131093 LCV131093:LCX131093 LMR131093:LMT131093 LWN131093:LWP131093 MGJ131093:MGL131093 MQF131093:MQH131093 NAB131093:NAD131093 NJX131093:NJZ131093 NTT131093:NTV131093 ODP131093:ODR131093 ONL131093:ONN131093 OXH131093:OXJ131093 PHD131093:PHF131093 PQZ131093:PRB131093 QAV131093:QAX131093 QKR131093:QKT131093 QUN131093:QUP131093 REJ131093:REL131093 ROF131093:ROH131093 RYB131093:RYD131093 SHX131093:SHZ131093 SRT131093:SRV131093 TBP131093:TBR131093 TLL131093:TLN131093 TVH131093:TVJ131093 UFD131093:UFF131093 UOZ131093:UPB131093 UYV131093:UYX131093 VIR131093:VIT131093 VSN131093:VSP131093 WCJ131093:WCL131093 WMF131093:WMH131093 WWB131093:WWD131093 T196629:V196629 JP196629:JR196629 TL196629:TN196629 ADH196629:ADJ196629 AND196629:ANF196629 AWZ196629:AXB196629 BGV196629:BGX196629 BQR196629:BQT196629 CAN196629:CAP196629 CKJ196629:CKL196629 CUF196629:CUH196629 DEB196629:DED196629 DNX196629:DNZ196629 DXT196629:DXV196629 EHP196629:EHR196629 ERL196629:ERN196629 FBH196629:FBJ196629 FLD196629:FLF196629 FUZ196629:FVB196629 GEV196629:GEX196629 GOR196629:GOT196629 GYN196629:GYP196629 HIJ196629:HIL196629 HSF196629:HSH196629 ICB196629:ICD196629 ILX196629:ILZ196629 IVT196629:IVV196629 JFP196629:JFR196629 JPL196629:JPN196629 JZH196629:JZJ196629 KJD196629:KJF196629 KSZ196629:KTB196629 LCV196629:LCX196629 LMR196629:LMT196629 LWN196629:LWP196629 MGJ196629:MGL196629 MQF196629:MQH196629 NAB196629:NAD196629 NJX196629:NJZ196629 NTT196629:NTV196629 ODP196629:ODR196629 ONL196629:ONN196629 OXH196629:OXJ196629 PHD196629:PHF196629 PQZ196629:PRB196629 QAV196629:QAX196629 QKR196629:QKT196629 QUN196629:QUP196629 REJ196629:REL196629 ROF196629:ROH196629 RYB196629:RYD196629 SHX196629:SHZ196629 SRT196629:SRV196629 TBP196629:TBR196629 TLL196629:TLN196629 TVH196629:TVJ196629 UFD196629:UFF196629 UOZ196629:UPB196629 UYV196629:UYX196629 VIR196629:VIT196629 VSN196629:VSP196629 WCJ196629:WCL196629 WMF196629:WMH196629 WWB196629:WWD196629 T262165:V262165 JP262165:JR262165 TL262165:TN262165 ADH262165:ADJ262165 AND262165:ANF262165 AWZ262165:AXB262165 BGV262165:BGX262165 BQR262165:BQT262165 CAN262165:CAP262165 CKJ262165:CKL262165 CUF262165:CUH262165 DEB262165:DED262165 DNX262165:DNZ262165 DXT262165:DXV262165 EHP262165:EHR262165 ERL262165:ERN262165 FBH262165:FBJ262165 FLD262165:FLF262165 FUZ262165:FVB262165 GEV262165:GEX262165 GOR262165:GOT262165 GYN262165:GYP262165 HIJ262165:HIL262165 HSF262165:HSH262165 ICB262165:ICD262165 ILX262165:ILZ262165 IVT262165:IVV262165 JFP262165:JFR262165 JPL262165:JPN262165 JZH262165:JZJ262165 KJD262165:KJF262165 KSZ262165:KTB262165 LCV262165:LCX262165 LMR262165:LMT262165 LWN262165:LWP262165 MGJ262165:MGL262165 MQF262165:MQH262165 NAB262165:NAD262165 NJX262165:NJZ262165 NTT262165:NTV262165 ODP262165:ODR262165 ONL262165:ONN262165 OXH262165:OXJ262165 PHD262165:PHF262165 PQZ262165:PRB262165 QAV262165:QAX262165 QKR262165:QKT262165 QUN262165:QUP262165 REJ262165:REL262165 ROF262165:ROH262165 RYB262165:RYD262165 SHX262165:SHZ262165 SRT262165:SRV262165 TBP262165:TBR262165 TLL262165:TLN262165 TVH262165:TVJ262165 UFD262165:UFF262165 UOZ262165:UPB262165 UYV262165:UYX262165 VIR262165:VIT262165 VSN262165:VSP262165 WCJ262165:WCL262165 WMF262165:WMH262165 WWB262165:WWD262165 T327701:V327701 JP327701:JR327701 TL327701:TN327701 ADH327701:ADJ327701 AND327701:ANF327701 AWZ327701:AXB327701 BGV327701:BGX327701 BQR327701:BQT327701 CAN327701:CAP327701 CKJ327701:CKL327701 CUF327701:CUH327701 DEB327701:DED327701 DNX327701:DNZ327701 DXT327701:DXV327701 EHP327701:EHR327701 ERL327701:ERN327701 FBH327701:FBJ327701 FLD327701:FLF327701 FUZ327701:FVB327701 GEV327701:GEX327701 GOR327701:GOT327701 GYN327701:GYP327701 HIJ327701:HIL327701 HSF327701:HSH327701 ICB327701:ICD327701 ILX327701:ILZ327701 IVT327701:IVV327701 JFP327701:JFR327701 JPL327701:JPN327701 JZH327701:JZJ327701 KJD327701:KJF327701 KSZ327701:KTB327701 LCV327701:LCX327701 LMR327701:LMT327701 LWN327701:LWP327701 MGJ327701:MGL327701 MQF327701:MQH327701 NAB327701:NAD327701 NJX327701:NJZ327701 NTT327701:NTV327701 ODP327701:ODR327701 ONL327701:ONN327701 OXH327701:OXJ327701 PHD327701:PHF327701 PQZ327701:PRB327701 QAV327701:QAX327701 QKR327701:QKT327701 QUN327701:QUP327701 REJ327701:REL327701 ROF327701:ROH327701 RYB327701:RYD327701 SHX327701:SHZ327701 SRT327701:SRV327701 TBP327701:TBR327701 TLL327701:TLN327701 TVH327701:TVJ327701 UFD327701:UFF327701 UOZ327701:UPB327701 UYV327701:UYX327701 VIR327701:VIT327701 VSN327701:VSP327701 WCJ327701:WCL327701 WMF327701:WMH327701 WWB327701:WWD327701 T393237:V393237 JP393237:JR393237 TL393237:TN393237 ADH393237:ADJ393237 AND393237:ANF393237 AWZ393237:AXB393237 BGV393237:BGX393237 BQR393237:BQT393237 CAN393237:CAP393237 CKJ393237:CKL393237 CUF393237:CUH393237 DEB393237:DED393237 DNX393237:DNZ393237 DXT393237:DXV393237 EHP393237:EHR393237 ERL393237:ERN393237 FBH393237:FBJ393237 FLD393237:FLF393237 FUZ393237:FVB393237 GEV393237:GEX393237 GOR393237:GOT393237 GYN393237:GYP393237 HIJ393237:HIL393237 HSF393237:HSH393237 ICB393237:ICD393237 ILX393237:ILZ393237 IVT393237:IVV393237 JFP393237:JFR393237 JPL393237:JPN393237 JZH393237:JZJ393237 KJD393237:KJF393237 KSZ393237:KTB393237 LCV393237:LCX393237 LMR393237:LMT393237 LWN393237:LWP393237 MGJ393237:MGL393237 MQF393237:MQH393237 NAB393237:NAD393237 NJX393237:NJZ393237 NTT393237:NTV393237 ODP393237:ODR393237 ONL393237:ONN393237 OXH393237:OXJ393237 PHD393237:PHF393237 PQZ393237:PRB393237 QAV393237:QAX393237 QKR393237:QKT393237 QUN393237:QUP393237 REJ393237:REL393237 ROF393237:ROH393237 RYB393237:RYD393237 SHX393237:SHZ393237 SRT393237:SRV393237 TBP393237:TBR393237 TLL393237:TLN393237 TVH393237:TVJ393237 UFD393237:UFF393237 UOZ393237:UPB393237 UYV393237:UYX393237 VIR393237:VIT393237 VSN393237:VSP393237 WCJ393237:WCL393237 WMF393237:WMH393237 WWB393237:WWD393237 T458773:V458773 JP458773:JR458773 TL458773:TN458773 ADH458773:ADJ458773 AND458773:ANF458773 AWZ458773:AXB458773 BGV458773:BGX458773 BQR458773:BQT458773 CAN458773:CAP458773 CKJ458773:CKL458773 CUF458773:CUH458773 DEB458773:DED458773 DNX458773:DNZ458773 DXT458773:DXV458773 EHP458773:EHR458773 ERL458773:ERN458773 FBH458773:FBJ458773 FLD458773:FLF458773 FUZ458773:FVB458773 GEV458773:GEX458773 GOR458773:GOT458773 GYN458773:GYP458773 HIJ458773:HIL458773 HSF458773:HSH458773 ICB458773:ICD458773 ILX458773:ILZ458773 IVT458773:IVV458773 JFP458773:JFR458773 JPL458773:JPN458773 JZH458773:JZJ458773 KJD458773:KJF458773 KSZ458773:KTB458773 LCV458773:LCX458773 LMR458773:LMT458773 LWN458773:LWP458773 MGJ458773:MGL458773 MQF458773:MQH458773 NAB458773:NAD458773 NJX458773:NJZ458773 NTT458773:NTV458773 ODP458773:ODR458773 ONL458773:ONN458773 OXH458773:OXJ458773 PHD458773:PHF458773 PQZ458773:PRB458773 QAV458773:QAX458773 QKR458773:QKT458773 QUN458773:QUP458773 REJ458773:REL458773 ROF458773:ROH458773 RYB458773:RYD458773 SHX458773:SHZ458773 SRT458773:SRV458773 TBP458773:TBR458773 TLL458773:TLN458773 TVH458773:TVJ458773 UFD458773:UFF458773 UOZ458773:UPB458773 UYV458773:UYX458773 VIR458773:VIT458773 VSN458773:VSP458773 WCJ458773:WCL458773 WMF458773:WMH458773 WWB458773:WWD458773 T524309:V524309 JP524309:JR524309 TL524309:TN524309 ADH524309:ADJ524309 AND524309:ANF524309 AWZ524309:AXB524309 BGV524309:BGX524309 BQR524309:BQT524309 CAN524309:CAP524309 CKJ524309:CKL524309 CUF524309:CUH524309 DEB524309:DED524309 DNX524309:DNZ524309 DXT524309:DXV524309 EHP524309:EHR524309 ERL524309:ERN524309 FBH524309:FBJ524309 FLD524309:FLF524309 FUZ524309:FVB524309 GEV524309:GEX524309 GOR524309:GOT524309 GYN524309:GYP524309 HIJ524309:HIL524309 HSF524309:HSH524309 ICB524309:ICD524309 ILX524309:ILZ524309 IVT524309:IVV524309 JFP524309:JFR524309 JPL524309:JPN524309 JZH524309:JZJ524309 KJD524309:KJF524309 KSZ524309:KTB524309 LCV524309:LCX524309 LMR524309:LMT524309 LWN524309:LWP524309 MGJ524309:MGL524309 MQF524309:MQH524309 NAB524309:NAD524309 NJX524309:NJZ524309 NTT524309:NTV524309 ODP524309:ODR524309 ONL524309:ONN524309 OXH524309:OXJ524309 PHD524309:PHF524309 PQZ524309:PRB524309 QAV524309:QAX524309 QKR524309:QKT524309 QUN524309:QUP524309 REJ524309:REL524309 ROF524309:ROH524309 RYB524309:RYD524309 SHX524309:SHZ524309 SRT524309:SRV524309 TBP524309:TBR524309 TLL524309:TLN524309 TVH524309:TVJ524309 UFD524309:UFF524309 UOZ524309:UPB524309 UYV524309:UYX524309 VIR524309:VIT524309 VSN524309:VSP524309 WCJ524309:WCL524309 WMF524309:WMH524309 WWB524309:WWD524309 T589845:V589845 JP589845:JR589845 TL589845:TN589845 ADH589845:ADJ589845 AND589845:ANF589845 AWZ589845:AXB589845 BGV589845:BGX589845 BQR589845:BQT589845 CAN589845:CAP589845 CKJ589845:CKL589845 CUF589845:CUH589845 DEB589845:DED589845 DNX589845:DNZ589845 DXT589845:DXV589845 EHP589845:EHR589845 ERL589845:ERN589845 FBH589845:FBJ589845 FLD589845:FLF589845 FUZ589845:FVB589845 GEV589845:GEX589845 GOR589845:GOT589845 GYN589845:GYP589845 HIJ589845:HIL589845 HSF589845:HSH589845 ICB589845:ICD589845 ILX589845:ILZ589845 IVT589845:IVV589845 JFP589845:JFR589845 JPL589845:JPN589845 JZH589845:JZJ589845 KJD589845:KJF589845 KSZ589845:KTB589845 LCV589845:LCX589845 LMR589845:LMT589845 LWN589845:LWP589845 MGJ589845:MGL589845 MQF589845:MQH589845 NAB589845:NAD589845 NJX589845:NJZ589845 NTT589845:NTV589845 ODP589845:ODR589845 ONL589845:ONN589845 OXH589845:OXJ589845 PHD589845:PHF589845 PQZ589845:PRB589845 QAV589845:QAX589845 QKR589845:QKT589845 QUN589845:QUP589845 REJ589845:REL589845 ROF589845:ROH589845 RYB589845:RYD589845 SHX589845:SHZ589845 SRT589845:SRV589845 TBP589845:TBR589845 TLL589845:TLN589845 TVH589845:TVJ589845 UFD589845:UFF589845 UOZ589845:UPB589845 UYV589845:UYX589845 VIR589845:VIT589845 VSN589845:VSP589845 WCJ589845:WCL589845 WMF589845:WMH589845 WWB589845:WWD589845 T655381:V655381 JP655381:JR655381 TL655381:TN655381 ADH655381:ADJ655381 AND655381:ANF655381 AWZ655381:AXB655381 BGV655381:BGX655381 BQR655381:BQT655381 CAN655381:CAP655381 CKJ655381:CKL655381 CUF655381:CUH655381 DEB655381:DED655381 DNX655381:DNZ655381 DXT655381:DXV655381 EHP655381:EHR655381 ERL655381:ERN655381 FBH655381:FBJ655381 FLD655381:FLF655381 FUZ655381:FVB655381 GEV655381:GEX655381 GOR655381:GOT655381 GYN655381:GYP655381 HIJ655381:HIL655381 HSF655381:HSH655381 ICB655381:ICD655381 ILX655381:ILZ655381 IVT655381:IVV655381 JFP655381:JFR655381 JPL655381:JPN655381 JZH655381:JZJ655381 KJD655381:KJF655381 KSZ655381:KTB655381 LCV655381:LCX655381 LMR655381:LMT655381 LWN655381:LWP655381 MGJ655381:MGL655381 MQF655381:MQH655381 NAB655381:NAD655381 NJX655381:NJZ655381 NTT655381:NTV655381 ODP655381:ODR655381 ONL655381:ONN655381 OXH655381:OXJ655381 PHD655381:PHF655381 PQZ655381:PRB655381 QAV655381:QAX655381 QKR655381:QKT655381 QUN655381:QUP655381 REJ655381:REL655381 ROF655381:ROH655381 RYB655381:RYD655381 SHX655381:SHZ655381 SRT655381:SRV655381 TBP655381:TBR655381 TLL655381:TLN655381 TVH655381:TVJ655381 UFD655381:UFF655381 UOZ655381:UPB655381 UYV655381:UYX655381 VIR655381:VIT655381 VSN655381:VSP655381 WCJ655381:WCL655381 WMF655381:WMH655381 WWB655381:WWD655381 T720917:V720917 JP720917:JR720917 TL720917:TN720917 ADH720917:ADJ720917 AND720917:ANF720917 AWZ720917:AXB720917 BGV720917:BGX720917 BQR720917:BQT720917 CAN720917:CAP720917 CKJ720917:CKL720917 CUF720917:CUH720917 DEB720917:DED720917 DNX720917:DNZ720917 DXT720917:DXV720917 EHP720917:EHR720917 ERL720917:ERN720917 FBH720917:FBJ720917 FLD720917:FLF720917 FUZ720917:FVB720917 GEV720917:GEX720917 GOR720917:GOT720917 GYN720917:GYP720917 HIJ720917:HIL720917 HSF720917:HSH720917 ICB720917:ICD720917 ILX720917:ILZ720917 IVT720917:IVV720917 JFP720917:JFR720917 JPL720917:JPN720917 JZH720917:JZJ720917 KJD720917:KJF720917 KSZ720917:KTB720917 LCV720917:LCX720917 LMR720917:LMT720917 LWN720917:LWP720917 MGJ720917:MGL720917 MQF720917:MQH720917 NAB720917:NAD720917 NJX720917:NJZ720917 NTT720917:NTV720917 ODP720917:ODR720917 ONL720917:ONN720917 OXH720917:OXJ720917 PHD720917:PHF720917 PQZ720917:PRB720917 QAV720917:QAX720917 QKR720917:QKT720917 QUN720917:QUP720917 REJ720917:REL720917 ROF720917:ROH720917 RYB720917:RYD720917 SHX720917:SHZ720917 SRT720917:SRV720917 TBP720917:TBR720917 TLL720917:TLN720917 TVH720917:TVJ720917 UFD720917:UFF720917 UOZ720917:UPB720917 UYV720917:UYX720917 VIR720917:VIT720917 VSN720917:VSP720917 WCJ720917:WCL720917 WMF720917:WMH720917 WWB720917:WWD720917 T786453:V786453 JP786453:JR786453 TL786453:TN786453 ADH786453:ADJ786453 AND786453:ANF786453 AWZ786453:AXB786453 BGV786453:BGX786453 BQR786453:BQT786453 CAN786453:CAP786453 CKJ786453:CKL786453 CUF786453:CUH786453 DEB786453:DED786453 DNX786453:DNZ786453 DXT786453:DXV786453 EHP786453:EHR786453 ERL786453:ERN786453 FBH786453:FBJ786453 FLD786453:FLF786453 FUZ786453:FVB786453 GEV786453:GEX786453 GOR786453:GOT786453 GYN786453:GYP786453 HIJ786453:HIL786453 HSF786453:HSH786453 ICB786453:ICD786453 ILX786453:ILZ786453 IVT786453:IVV786453 JFP786453:JFR786453 JPL786453:JPN786453 JZH786453:JZJ786453 KJD786453:KJF786453 KSZ786453:KTB786453 LCV786453:LCX786453 LMR786453:LMT786453 LWN786453:LWP786453 MGJ786453:MGL786453 MQF786453:MQH786453 NAB786453:NAD786453 NJX786453:NJZ786453 NTT786453:NTV786453 ODP786453:ODR786453 ONL786453:ONN786453 OXH786453:OXJ786453 PHD786453:PHF786453 PQZ786453:PRB786453 QAV786453:QAX786453 QKR786453:QKT786453 QUN786453:QUP786453 REJ786453:REL786453 ROF786453:ROH786453 RYB786453:RYD786453 SHX786453:SHZ786453 SRT786453:SRV786453 TBP786453:TBR786453 TLL786453:TLN786453 TVH786453:TVJ786453 UFD786453:UFF786453 UOZ786453:UPB786453 UYV786453:UYX786453 VIR786453:VIT786453 VSN786453:VSP786453 WCJ786453:WCL786453 WMF786453:WMH786453 WWB786453:WWD786453 T851989:V851989 JP851989:JR851989 TL851989:TN851989 ADH851989:ADJ851989 AND851989:ANF851989 AWZ851989:AXB851989 BGV851989:BGX851989 BQR851989:BQT851989 CAN851989:CAP851989 CKJ851989:CKL851989 CUF851989:CUH851989 DEB851989:DED851989 DNX851989:DNZ851989 DXT851989:DXV851989 EHP851989:EHR851989 ERL851989:ERN851989 FBH851989:FBJ851989 FLD851989:FLF851989 FUZ851989:FVB851989 GEV851989:GEX851989 GOR851989:GOT851989 GYN851989:GYP851989 HIJ851989:HIL851989 HSF851989:HSH851989 ICB851989:ICD851989 ILX851989:ILZ851989 IVT851989:IVV851989 JFP851989:JFR851989 JPL851989:JPN851989 JZH851989:JZJ851989 KJD851989:KJF851989 KSZ851989:KTB851989 LCV851989:LCX851989 LMR851989:LMT851989 LWN851989:LWP851989 MGJ851989:MGL851989 MQF851989:MQH851989 NAB851989:NAD851989 NJX851989:NJZ851989 NTT851989:NTV851989 ODP851989:ODR851989 ONL851989:ONN851989 OXH851989:OXJ851989 PHD851989:PHF851989 PQZ851989:PRB851989 QAV851989:QAX851989 QKR851989:QKT851989 QUN851989:QUP851989 REJ851989:REL851989 ROF851989:ROH851989 RYB851989:RYD851989 SHX851989:SHZ851989 SRT851989:SRV851989 TBP851989:TBR851989 TLL851989:TLN851989 TVH851989:TVJ851989 UFD851989:UFF851989 UOZ851989:UPB851989 UYV851989:UYX851989 VIR851989:VIT851989 VSN851989:VSP851989 WCJ851989:WCL851989 WMF851989:WMH851989 WWB851989:WWD851989 T917525:V917525 JP917525:JR917525 TL917525:TN917525 ADH917525:ADJ917525 AND917525:ANF917525 AWZ917525:AXB917525 BGV917525:BGX917525 BQR917525:BQT917525 CAN917525:CAP917525 CKJ917525:CKL917525 CUF917525:CUH917525 DEB917525:DED917525 DNX917525:DNZ917525 DXT917525:DXV917525 EHP917525:EHR917525 ERL917525:ERN917525 FBH917525:FBJ917525 FLD917525:FLF917525 FUZ917525:FVB917525 GEV917525:GEX917525 GOR917525:GOT917525 GYN917525:GYP917525 HIJ917525:HIL917525 HSF917525:HSH917525 ICB917525:ICD917525 ILX917525:ILZ917525 IVT917525:IVV917525 JFP917525:JFR917525 JPL917525:JPN917525 JZH917525:JZJ917525 KJD917525:KJF917525 KSZ917525:KTB917525 LCV917525:LCX917525 LMR917525:LMT917525 LWN917525:LWP917525 MGJ917525:MGL917525 MQF917525:MQH917525 NAB917525:NAD917525 NJX917525:NJZ917525 NTT917525:NTV917525 ODP917525:ODR917525 ONL917525:ONN917525 OXH917525:OXJ917525 PHD917525:PHF917525 PQZ917525:PRB917525 QAV917525:QAX917525 QKR917525:QKT917525 QUN917525:QUP917525 REJ917525:REL917525 ROF917525:ROH917525 RYB917525:RYD917525 SHX917525:SHZ917525 SRT917525:SRV917525 TBP917525:TBR917525 TLL917525:TLN917525 TVH917525:TVJ917525 UFD917525:UFF917525 UOZ917525:UPB917525 UYV917525:UYX917525 VIR917525:VIT917525 VSN917525:VSP917525 WCJ917525:WCL917525 WMF917525:WMH917525 WWB917525:WWD917525 T983061:V983061 JP983061:JR983061 TL983061:TN983061 ADH983061:ADJ983061 AND983061:ANF983061 AWZ983061:AXB983061 BGV983061:BGX983061 BQR983061:BQT983061 CAN983061:CAP983061 CKJ983061:CKL983061 CUF983061:CUH983061 DEB983061:DED983061 DNX983061:DNZ983061 DXT983061:DXV983061 EHP983061:EHR983061 ERL983061:ERN983061 FBH983061:FBJ983061 FLD983061:FLF983061 FUZ983061:FVB983061 GEV983061:GEX983061 GOR983061:GOT983061 GYN983061:GYP983061 HIJ983061:HIL983061 HSF983061:HSH983061 ICB983061:ICD983061 ILX983061:ILZ983061 IVT983061:IVV983061 JFP983061:JFR983061 JPL983061:JPN983061 JZH983061:JZJ983061 KJD983061:KJF983061 KSZ983061:KTB983061 LCV983061:LCX983061 LMR983061:LMT983061 LWN983061:LWP983061 MGJ983061:MGL983061 MQF983061:MQH983061 NAB983061:NAD983061 NJX983061:NJZ983061 NTT983061:NTV983061 ODP983061:ODR983061 ONL983061:ONN983061 OXH983061:OXJ983061 PHD983061:PHF983061 PQZ983061:PRB983061 QAV983061:QAX983061 QKR983061:QKT983061 QUN983061:QUP983061 REJ983061:REL983061 ROF983061:ROH983061 RYB983061:RYD983061 SHX983061:SHZ983061 SRT983061:SRV983061 TBP983061:TBR983061 TLL983061:TLN983061 TVH983061:TVJ983061 UFD983061:UFF983061 UOZ983061:UPB983061 UYV983061:UYX983061 VIR983061:VIT983061 VSN983061:VSP983061 WCJ983061:WCL983061 T21:W21" xr:uid="{AD484457-FD47-4330-BE17-82E2922B2B84}"/>
  </dataValidations>
  <pageMargins left="0.78740157480314965" right="0.39370078740157483" top="0.59055118110236227" bottom="0.59055118110236227" header="0.51181102362204722" footer="0.51181102362204722"/>
  <pageSetup paperSize="9" orientation="portrait" blackAndWhite="1"/>
  <headerFooter>
    <oddHeader>&amp;L&amp;9様式－ＩＰＥＣ－０８</oddHeader>
    <oddFooter xml:space="preserve">&amp;L&amp;6IPEC-08 建築主等変更届.xls&amp;R&amp;6ver1.2
</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7FFFF29-FA8A-4EA8-B1E8-684F323153DB}">
          <x14:formula1>
            <xm:f>$AN$27:$AN$28</xm:f>
          </x14:formula1>
          <xm:sqref>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AB61 JX61 TT61 ADP61 ANL61 AXH61 BHD61 BQZ61 CAV61 CKR61 CUN61 DEJ61 DOF61 DYB61 EHX61 ERT61 FBP61 FLL61 FVH61 GFD61 GOZ61 GYV61 HIR61 HSN61 ICJ61 IMF61 IWB61 JFX61 JPT61 JZP61 KJL61 KTH61 LDD61 LMZ61 LWV61 MGR61 MQN61 NAJ61 NKF61 NUB61 ODX61 ONT61 OXP61 PHL61 PRH61 QBD61 QKZ61 QUV61 RER61 RON61 RYJ61 SIF61 SSB61 TBX61 TLT61 TVP61 UFL61 UPH61 UZD61 VIZ61 VSV61 WCR61 WMN61 WWJ61 AB65597 JX65597 TT65597 ADP65597 ANL65597 AXH65597 BHD65597 BQZ65597 CAV65597 CKR65597 CUN65597 DEJ65597 DOF65597 DYB65597 EHX65597 ERT65597 FBP65597 FLL65597 FVH65597 GFD65597 GOZ65597 GYV65597 HIR65597 HSN65597 ICJ65597 IMF65597 IWB65597 JFX65597 JPT65597 JZP65597 KJL65597 KTH65597 LDD65597 LMZ65597 LWV65597 MGR65597 MQN65597 NAJ65597 NKF65597 NUB65597 ODX65597 ONT65597 OXP65597 PHL65597 PRH65597 QBD65597 QKZ65597 QUV65597 RER65597 RON65597 RYJ65597 SIF65597 SSB65597 TBX65597 TLT65597 TVP65597 UFL65597 UPH65597 UZD65597 VIZ65597 VSV65597 WCR65597 WMN65597 WWJ65597 AB131133 JX131133 TT131133 ADP131133 ANL131133 AXH131133 BHD131133 BQZ131133 CAV131133 CKR131133 CUN131133 DEJ131133 DOF131133 DYB131133 EHX131133 ERT131133 FBP131133 FLL131133 FVH131133 GFD131133 GOZ131133 GYV131133 HIR131133 HSN131133 ICJ131133 IMF131133 IWB131133 JFX131133 JPT131133 JZP131133 KJL131133 KTH131133 LDD131133 LMZ131133 LWV131133 MGR131133 MQN131133 NAJ131133 NKF131133 NUB131133 ODX131133 ONT131133 OXP131133 PHL131133 PRH131133 QBD131133 QKZ131133 QUV131133 RER131133 RON131133 RYJ131133 SIF131133 SSB131133 TBX131133 TLT131133 TVP131133 UFL131133 UPH131133 UZD131133 VIZ131133 VSV131133 WCR131133 WMN131133 WWJ131133 AB196669 JX196669 TT196669 ADP196669 ANL196669 AXH196669 BHD196669 BQZ196669 CAV196669 CKR196669 CUN196669 DEJ196669 DOF196669 DYB196669 EHX196669 ERT196669 FBP196669 FLL196669 FVH196669 GFD196669 GOZ196669 GYV196669 HIR196669 HSN196669 ICJ196669 IMF196669 IWB196669 JFX196669 JPT196669 JZP196669 KJL196669 KTH196669 LDD196669 LMZ196669 LWV196669 MGR196669 MQN196669 NAJ196669 NKF196669 NUB196669 ODX196669 ONT196669 OXP196669 PHL196669 PRH196669 QBD196669 QKZ196669 QUV196669 RER196669 RON196669 RYJ196669 SIF196669 SSB196669 TBX196669 TLT196669 TVP196669 UFL196669 UPH196669 UZD196669 VIZ196669 VSV196669 WCR196669 WMN196669 WWJ196669 AB262205 JX262205 TT262205 ADP262205 ANL262205 AXH262205 BHD262205 BQZ262205 CAV262205 CKR262205 CUN262205 DEJ262205 DOF262205 DYB262205 EHX262205 ERT262205 FBP262205 FLL262205 FVH262205 GFD262205 GOZ262205 GYV262205 HIR262205 HSN262205 ICJ262205 IMF262205 IWB262205 JFX262205 JPT262205 JZP262205 KJL262205 KTH262205 LDD262205 LMZ262205 LWV262205 MGR262205 MQN262205 NAJ262205 NKF262205 NUB262205 ODX262205 ONT262205 OXP262205 PHL262205 PRH262205 QBD262205 QKZ262205 QUV262205 RER262205 RON262205 RYJ262205 SIF262205 SSB262205 TBX262205 TLT262205 TVP262205 UFL262205 UPH262205 UZD262205 VIZ262205 VSV262205 WCR262205 WMN262205 WWJ262205 AB327741 JX327741 TT327741 ADP327741 ANL327741 AXH327741 BHD327741 BQZ327741 CAV327741 CKR327741 CUN327741 DEJ327741 DOF327741 DYB327741 EHX327741 ERT327741 FBP327741 FLL327741 FVH327741 GFD327741 GOZ327741 GYV327741 HIR327741 HSN327741 ICJ327741 IMF327741 IWB327741 JFX327741 JPT327741 JZP327741 KJL327741 KTH327741 LDD327741 LMZ327741 LWV327741 MGR327741 MQN327741 NAJ327741 NKF327741 NUB327741 ODX327741 ONT327741 OXP327741 PHL327741 PRH327741 QBD327741 QKZ327741 QUV327741 RER327741 RON327741 RYJ327741 SIF327741 SSB327741 TBX327741 TLT327741 TVP327741 UFL327741 UPH327741 UZD327741 VIZ327741 VSV327741 WCR327741 WMN327741 WWJ327741 AB393277 JX393277 TT393277 ADP393277 ANL393277 AXH393277 BHD393277 BQZ393277 CAV393277 CKR393277 CUN393277 DEJ393277 DOF393277 DYB393277 EHX393277 ERT393277 FBP393277 FLL393277 FVH393277 GFD393277 GOZ393277 GYV393277 HIR393277 HSN393277 ICJ393277 IMF393277 IWB393277 JFX393277 JPT393277 JZP393277 KJL393277 KTH393277 LDD393277 LMZ393277 LWV393277 MGR393277 MQN393277 NAJ393277 NKF393277 NUB393277 ODX393277 ONT393277 OXP393277 PHL393277 PRH393277 QBD393277 QKZ393277 QUV393277 RER393277 RON393277 RYJ393277 SIF393277 SSB393277 TBX393277 TLT393277 TVP393277 UFL393277 UPH393277 UZD393277 VIZ393277 VSV393277 WCR393277 WMN393277 WWJ393277 AB458813 JX458813 TT458813 ADP458813 ANL458813 AXH458813 BHD458813 BQZ458813 CAV458813 CKR458813 CUN458813 DEJ458813 DOF458813 DYB458813 EHX458813 ERT458813 FBP458813 FLL458813 FVH458813 GFD458813 GOZ458813 GYV458813 HIR458813 HSN458813 ICJ458813 IMF458813 IWB458813 JFX458813 JPT458813 JZP458813 KJL458813 KTH458813 LDD458813 LMZ458813 LWV458813 MGR458813 MQN458813 NAJ458813 NKF458813 NUB458813 ODX458813 ONT458813 OXP458813 PHL458813 PRH458813 QBD458813 QKZ458813 QUV458813 RER458813 RON458813 RYJ458813 SIF458813 SSB458813 TBX458813 TLT458813 TVP458813 UFL458813 UPH458813 UZD458813 VIZ458813 VSV458813 WCR458813 WMN458813 WWJ458813 AB524349 JX524349 TT524349 ADP524349 ANL524349 AXH524349 BHD524349 BQZ524349 CAV524349 CKR524349 CUN524349 DEJ524349 DOF524349 DYB524349 EHX524349 ERT524349 FBP524349 FLL524349 FVH524349 GFD524349 GOZ524349 GYV524349 HIR524349 HSN524349 ICJ524349 IMF524349 IWB524349 JFX524349 JPT524349 JZP524349 KJL524349 KTH524349 LDD524349 LMZ524349 LWV524349 MGR524349 MQN524349 NAJ524349 NKF524349 NUB524349 ODX524349 ONT524349 OXP524349 PHL524349 PRH524349 QBD524349 QKZ524349 QUV524349 RER524349 RON524349 RYJ524349 SIF524349 SSB524349 TBX524349 TLT524349 TVP524349 UFL524349 UPH524349 UZD524349 VIZ524349 VSV524349 WCR524349 WMN524349 WWJ524349 AB589885 JX589885 TT589885 ADP589885 ANL589885 AXH589885 BHD589885 BQZ589885 CAV589885 CKR589885 CUN589885 DEJ589885 DOF589885 DYB589885 EHX589885 ERT589885 FBP589885 FLL589885 FVH589885 GFD589885 GOZ589885 GYV589885 HIR589885 HSN589885 ICJ589885 IMF589885 IWB589885 JFX589885 JPT589885 JZP589885 KJL589885 KTH589885 LDD589885 LMZ589885 LWV589885 MGR589885 MQN589885 NAJ589885 NKF589885 NUB589885 ODX589885 ONT589885 OXP589885 PHL589885 PRH589885 QBD589885 QKZ589885 QUV589885 RER589885 RON589885 RYJ589885 SIF589885 SSB589885 TBX589885 TLT589885 TVP589885 UFL589885 UPH589885 UZD589885 VIZ589885 VSV589885 WCR589885 WMN589885 WWJ589885 AB655421 JX655421 TT655421 ADP655421 ANL655421 AXH655421 BHD655421 BQZ655421 CAV655421 CKR655421 CUN655421 DEJ655421 DOF655421 DYB655421 EHX655421 ERT655421 FBP655421 FLL655421 FVH655421 GFD655421 GOZ655421 GYV655421 HIR655421 HSN655421 ICJ655421 IMF655421 IWB655421 JFX655421 JPT655421 JZP655421 KJL655421 KTH655421 LDD655421 LMZ655421 LWV655421 MGR655421 MQN655421 NAJ655421 NKF655421 NUB655421 ODX655421 ONT655421 OXP655421 PHL655421 PRH655421 QBD655421 QKZ655421 QUV655421 RER655421 RON655421 RYJ655421 SIF655421 SSB655421 TBX655421 TLT655421 TVP655421 UFL655421 UPH655421 UZD655421 VIZ655421 VSV655421 WCR655421 WMN655421 WWJ655421 AB720957 JX720957 TT720957 ADP720957 ANL720957 AXH720957 BHD720957 BQZ720957 CAV720957 CKR720957 CUN720957 DEJ720957 DOF720957 DYB720957 EHX720957 ERT720957 FBP720957 FLL720957 FVH720957 GFD720957 GOZ720957 GYV720957 HIR720957 HSN720957 ICJ720957 IMF720957 IWB720957 JFX720957 JPT720957 JZP720957 KJL720957 KTH720957 LDD720957 LMZ720957 LWV720957 MGR720957 MQN720957 NAJ720957 NKF720957 NUB720957 ODX720957 ONT720957 OXP720957 PHL720957 PRH720957 QBD720957 QKZ720957 QUV720957 RER720957 RON720957 RYJ720957 SIF720957 SSB720957 TBX720957 TLT720957 TVP720957 UFL720957 UPH720957 UZD720957 VIZ720957 VSV720957 WCR720957 WMN720957 WWJ720957 AB786493 JX786493 TT786493 ADP786493 ANL786493 AXH786493 BHD786493 BQZ786493 CAV786493 CKR786493 CUN786493 DEJ786493 DOF786493 DYB786493 EHX786493 ERT786493 FBP786493 FLL786493 FVH786493 GFD786493 GOZ786493 GYV786493 HIR786493 HSN786493 ICJ786493 IMF786493 IWB786493 JFX786493 JPT786493 JZP786493 KJL786493 KTH786493 LDD786493 LMZ786493 LWV786493 MGR786493 MQN786493 NAJ786493 NKF786493 NUB786493 ODX786493 ONT786493 OXP786493 PHL786493 PRH786493 QBD786493 QKZ786493 QUV786493 RER786493 RON786493 RYJ786493 SIF786493 SSB786493 TBX786493 TLT786493 TVP786493 UFL786493 UPH786493 UZD786493 VIZ786493 VSV786493 WCR786493 WMN786493 WWJ786493 AB852029 JX852029 TT852029 ADP852029 ANL852029 AXH852029 BHD852029 BQZ852029 CAV852029 CKR852029 CUN852029 DEJ852029 DOF852029 DYB852029 EHX852029 ERT852029 FBP852029 FLL852029 FVH852029 GFD852029 GOZ852029 GYV852029 HIR852029 HSN852029 ICJ852029 IMF852029 IWB852029 JFX852029 JPT852029 JZP852029 KJL852029 KTH852029 LDD852029 LMZ852029 LWV852029 MGR852029 MQN852029 NAJ852029 NKF852029 NUB852029 ODX852029 ONT852029 OXP852029 PHL852029 PRH852029 QBD852029 QKZ852029 QUV852029 RER852029 RON852029 RYJ852029 SIF852029 SSB852029 TBX852029 TLT852029 TVP852029 UFL852029 UPH852029 UZD852029 VIZ852029 VSV852029 WCR852029 WMN852029 WWJ852029 AB917565 JX917565 TT917565 ADP917565 ANL917565 AXH917565 BHD917565 BQZ917565 CAV917565 CKR917565 CUN917565 DEJ917565 DOF917565 DYB917565 EHX917565 ERT917565 FBP917565 FLL917565 FVH917565 GFD917565 GOZ917565 GYV917565 HIR917565 HSN917565 ICJ917565 IMF917565 IWB917565 JFX917565 JPT917565 JZP917565 KJL917565 KTH917565 LDD917565 LMZ917565 LWV917565 MGR917565 MQN917565 NAJ917565 NKF917565 NUB917565 ODX917565 ONT917565 OXP917565 PHL917565 PRH917565 QBD917565 QKZ917565 QUV917565 RER917565 RON917565 RYJ917565 SIF917565 SSB917565 TBX917565 TLT917565 TVP917565 UFL917565 UPH917565 UZD917565 VIZ917565 VSV917565 WCR917565 WMN917565 WWJ917565 AB983101 JX983101 TT983101 ADP983101 ANL983101 AXH983101 BHD983101 BQZ983101 CAV983101 CKR983101 CUN983101 DEJ983101 DOF983101 DYB983101 EHX983101 ERT983101 FBP983101 FLL983101 FVH983101 GFD983101 GOZ983101 GYV983101 HIR983101 HSN983101 ICJ983101 IMF983101 IWB983101 JFX983101 JPT983101 JZP983101 KJL983101 KTH983101 LDD983101 LMZ983101 LWV983101 MGR983101 MQN983101 NAJ983101 NKF983101 NUB983101 ODX983101 ONT983101 OXP983101 PHL983101 PRH983101 QBD983101 QKZ983101 QUV983101 RER983101 RON983101 RYJ983101 SIF983101 SSB983101 TBX983101 TLT983101 TVP983101 UFL983101 UPH983101 UZD983101 VIZ983101 VSV983101 WCR983101 WMN983101 WWJ983101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V56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V65592 JR65592 TN65592 ADJ65592 ANF65592 AXB65592 BGX65592 BQT65592 CAP65592 CKL65592 CUH65592 DED65592 DNZ65592 DXV65592 EHR65592 ERN65592 FBJ65592 FLF65592 FVB65592 GEX65592 GOT65592 GYP65592 HIL65592 HSH65592 ICD65592 ILZ65592 IVV65592 JFR65592 JPN65592 JZJ65592 KJF65592 KTB65592 LCX65592 LMT65592 LWP65592 MGL65592 MQH65592 NAD65592 NJZ65592 NTV65592 ODR65592 ONN65592 OXJ65592 PHF65592 PRB65592 QAX65592 QKT65592 QUP65592 REL65592 ROH65592 RYD65592 SHZ65592 SRV65592 TBR65592 TLN65592 TVJ65592 UFF65592 UPB65592 UYX65592 VIT65592 VSP65592 WCL65592 WMH65592 WWD65592 V131128 JR131128 TN131128 ADJ131128 ANF131128 AXB131128 BGX131128 BQT131128 CAP131128 CKL131128 CUH131128 DED131128 DNZ131128 DXV131128 EHR131128 ERN131128 FBJ131128 FLF131128 FVB131128 GEX131128 GOT131128 GYP131128 HIL131128 HSH131128 ICD131128 ILZ131128 IVV131128 JFR131128 JPN131128 JZJ131128 KJF131128 KTB131128 LCX131128 LMT131128 LWP131128 MGL131128 MQH131128 NAD131128 NJZ131128 NTV131128 ODR131128 ONN131128 OXJ131128 PHF131128 PRB131128 QAX131128 QKT131128 QUP131128 REL131128 ROH131128 RYD131128 SHZ131128 SRV131128 TBR131128 TLN131128 TVJ131128 UFF131128 UPB131128 UYX131128 VIT131128 VSP131128 WCL131128 WMH131128 WWD131128 V196664 JR196664 TN196664 ADJ196664 ANF196664 AXB196664 BGX196664 BQT196664 CAP196664 CKL196664 CUH196664 DED196664 DNZ196664 DXV196664 EHR196664 ERN196664 FBJ196664 FLF196664 FVB196664 GEX196664 GOT196664 GYP196664 HIL196664 HSH196664 ICD196664 ILZ196664 IVV196664 JFR196664 JPN196664 JZJ196664 KJF196664 KTB196664 LCX196664 LMT196664 LWP196664 MGL196664 MQH196664 NAD196664 NJZ196664 NTV196664 ODR196664 ONN196664 OXJ196664 PHF196664 PRB196664 QAX196664 QKT196664 QUP196664 REL196664 ROH196664 RYD196664 SHZ196664 SRV196664 TBR196664 TLN196664 TVJ196664 UFF196664 UPB196664 UYX196664 VIT196664 VSP196664 WCL196664 WMH196664 WWD196664 V262200 JR262200 TN262200 ADJ262200 ANF262200 AXB262200 BGX262200 BQT262200 CAP262200 CKL262200 CUH262200 DED262200 DNZ262200 DXV262200 EHR262200 ERN262200 FBJ262200 FLF262200 FVB262200 GEX262200 GOT262200 GYP262200 HIL262200 HSH262200 ICD262200 ILZ262200 IVV262200 JFR262200 JPN262200 JZJ262200 KJF262200 KTB262200 LCX262200 LMT262200 LWP262200 MGL262200 MQH262200 NAD262200 NJZ262200 NTV262200 ODR262200 ONN262200 OXJ262200 PHF262200 PRB262200 QAX262200 QKT262200 QUP262200 REL262200 ROH262200 RYD262200 SHZ262200 SRV262200 TBR262200 TLN262200 TVJ262200 UFF262200 UPB262200 UYX262200 VIT262200 VSP262200 WCL262200 WMH262200 WWD262200 V327736 JR327736 TN327736 ADJ327736 ANF327736 AXB327736 BGX327736 BQT327736 CAP327736 CKL327736 CUH327736 DED327736 DNZ327736 DXV327736 EHR327736 ERN327736 FBJ327736 FLF327736 FVB327736 GEX327736 GOT327736 GYP327736 HIL327736 HSH327736 ICD327736 ILZ327736 IVV327736 JFR327736 JPN327736 JZJ327736 KJF327736 KTB327736 LCX327736 LMT327736 LWP327736 MGL327736 MQH327736 NAD327736 NJZ327736 NTV327736 ODR327736 ONN327736 OXJ327736 PHF327736 PRB327736 QAX327736 QKT327736 QUP327736 REL327736 ROH327736 RYD327736 SHZ327736 SRV327736 TBR327736 TLN327736 TVJ327736 UFF327736 UPB327736 UYX327736 VIT327736 VSP327736 WCL327736 WMH327736 WWD327736 V393272 JR393272 TN393272 ADJ393272 ANF393272 AXB393272 BGX393272 BQT393272 CAP393272 CKL393272 CUH393272 DED393272 DNZ393272 DXV393272 EHR393272 ERN393272 FBJ393272 FLF393272 FVB393272 GEX393272 GOT393272 GYP393272 HIL393272 HSH393272 ICD393272 ILZ393272 IVV393272 JFR393272 JPN393272 JZJ393272 KJF393272 KTB393272 LCX393272 LMT393272 LWP393272 MGL393272 MQH393272 NAD393272 NJZ393272 NTV393272 ODR393272 ONN393272 OXJ393272 PHF393272 PRB393272 QAX393272 QKT393272 QUP393272 REL393272 ROH393272 RYD393272 SHZ393272 SRV393272 TBR393272 TLN393272 TVJ393272 UFF393272 UPB393272 UYX393272 VIT393272 VSP393272 WCL393272 WMH393272 WWD393272 V458808 JR458808 TN458808 ADJ458808 ANF458808 AXB458808 BGX458808 BQT458808 CAP458808 CKL458808 CUH458808 DED458808 DNZ458808 DXV458808 EHR458808 ERN458808 FBJ458808 FLF458808 FVB458808 GEX458808 GOT458808 GYP458808 HIL458808 HSH458808 ICD458808 ILZ458808 IVV458808 JFR458808 JPN458808 JZJ458808 KJF458808 KTB458808 LCX458808 LMT458808 LWP458808 MGL458808 MQH458808 NAD458808 NJZ458808 NTV458808 ODR458808 ONN458808 OXJ458808 PHF458808 PRB458808 QAX458808 QKT458808 QUP458808 REL458808 ROH458808 RYD458808 SHZ458808 SRV458808 TBR458808 TLN458808 TVJ458808 UFF458808 UPB458808 UYX458808 VIT458808 VSP458808 WCL458808 WMH458808 WWD458808 V524344 JR524344 TN524344 ADJ524344 ANF524344 AXB524344 BGX524344 BQT524344 CAP524344 CKL524344 CUH524344 DED524344 DNZ524344 DXV524344 EHR524344 ERN524344 FBJ524344 FLF524344 FVB524344 GEX524344 GOT524344 GYP524344 HIL524344 HSH524344 ICD524344 ILZ524344 IVV524344 JFR524344 JPN524344 JZJ524344 KJF524344 KTB524344 LCX524344 LMT524344 LWP524344 MGL524344 MQH524344 NAD524344 NJZ524344 NTV524344 ODR524344 ONN524344 OXJ524344 PHF524344 PRB524344 QAX524344 QKT524344 QUP524344 REL524344 ROH524344 RYD524344 SHZ524344 SRV524344 TBR524344 TLN524344 TVJ524344 UFF524344 UPB524344 UYX524344 VIT524344 VSP524344 WCL524344 WMH524344 WWD524344 V589880 JR589880 TN589880 ADJ589880 ANF589880 AXB589880 BGX589880 BQT589880 CAP589880 CKL589880 CUH589880 DED589880 DNZ589880 DXV589880 EHR589880 ERN589880 FBJ589880 FLF589880 FVB589880 GEX589880 GOT589880 GYP589880 HIL589880 HSH589880 ICD589880 ILZ589880 IVV589880 JFR589880 JPN589880 JZJ589880 KJF589880 KTB589880 LCX589880 LMT589880 LWP589880 MGL589880 MQH589880 NAD589880 NJZ589880 NTV589880 ODR589880 ONN589880 OXJ589880 PHF589880 PRB589880 QAX589880 QKT589880 QUP589880 REL589880 ROH589880 RYD589880 SHZ589880 SRV589880 TBR589880 TLN589880 TVJ589880 UFF589880 UPB589880 UYX589880 VIT589880 VSP589880 WCL589880 WMH589880 WWD589880 V655416 JR655416 TN655416 ADJ655416 ANF655416 AXB655416 BGX655416 BQT655416 CAP655416 CKL655416 CUH655416 DED655416 DNZ655416 DXV655416 EHR655416 ERN655416 FBJ655416 FLF655416 FVB655416 GEX655416 GOT655416 GYP655416 HIL655416 HSH655416 ICD655416 ILZ655416 IVV655416 JFR655416 JPN655416 JZJ655416 KJF655416 KTB655416 LCX655416 LMT655416 LWP655416 MGL655416 MQH655416 NAD655416 NJZ655416 NTV655416 ODR655416 ONN655416 OXJ655416 PHF655416 PRB655416 QAX655416 QKT655416 QUP655416 REL655416 ROH655416 RYD655416 SHZ655416 SRV655416 TBR655416 TLN655416 TVJ655416 UFF655416 UPB655416 UYX655416 VIT655416 VSP655416 WCL655416 WMH655416 WWD655416 V720952 JR720952 TN720952 ADJ720952 ANF720952 AXB720952 BGX720952 BQT720952 CAP720952 CKL720952 CUH720952 DED720952 DNZ720952 DXV720952 EHR720952 ERN720952 FBJ720952 FLF720952 FVB720952 GEX720952 GOT720952 GYP720952 HIL720952 HSH720952 ICD720952 ILZ720952 IVV720952 JFR720952 JPN720952 JZJ720952 KJF720952 KTB720952 LCX720952 LMT720952 LWP720952 MGL720952 MQH720952 NAD720952 NJZ720952 NTV720952 ODR720952 ONN720952 OXJ720952 PHF720952 PRB720952 QAX720952 QKT720952 QUP720952 REL720952 ROH720952 RYD720952 SHZ720952 SRV720952 TBR720952 TLN720952 TVJ720952 UFF720952 UPB720952 UYX720952 VIT720952 VSP720952 WCL720952 WMH720952 WWD720952 V786488 JR786488 TN786488 ADJ786488 ANF786488 AXB786488 BGX786488 BQT786488 CAP786488 CKL786488 CUH786488 DED786488 DNZ786488 DXV786488 EHR786488 ERN786488 FBJ786488 FLF786488 FVB786488 GEX786488 GOT786488 GYP786488 HIL786488 HSH786488 ICD786488 ILZ786488 IVV786488 JFR786488 JPN786488 JZJ786488 KJF786488 KTB786488 LCX786488 LMT786488 LWP786488 MGL786488 MQH786488 NAD786488 NJZ786488 NTV786488 ODR786488 ONN786488 OXJ786488 PHF786488 PRB786488 QAX786488 QKT786488 QUP786488 REL786488 ROH786488 RYD786488 SHZ786488 SRV786488 TBR786488 TLN786488 TVJ786488 UFF786488 UPB786488 UYX786488 VIT786488 VSP786488 WCL786488 WMH786488 WWD786488 V852024 JR852024 TN852024 ADJ852024 ANF852024 AXB852024 BGX852024 BQT852024 CAP852024 CKL852024 CUH852024 DED852024 DNZ852024 DXV852024 EHR852024 ERN852024 FBJ852024 FLF852024 FVB852024 GEX852024 GOT852024 GYP852024 HIL852024 HSH852024 ICD852024 ILZ852024 IVV852024 JFR852024 JPN852024 JZJ852024 KJF852024 KTB852024 LCX852024 LMT852024 LWP852024 MGL852024 MQH852024 NAD852024 NJZ852024 NTV852024 ODR852024 ONN852024 OXJ852024 PHF852024 PRB852024 QAX852024 QKT852024 QUP852024 REL852024 ROH852024 RYD852024 SHZ852024 SRV852024 TBR852024 TLN852024 TVJ852024 UFF852024 UPB852024 UYX852024 VIT852024 VSP852024 WCL852024 WMH852024 WWD852024 V917560 JR917560 TN917560 ADJ917560 ANF917560 AXB917560 BGX917560 BQT917560 CAP917560 CKL917560 CUH917560 DED917560 DNZ917560 DXV917560 EHR917560 ERN917560 FBJ917560 FLF917560 FVB917560 GEX917560 GOT917560 GYP917560 HIL917560 HSH917560 ICD917560 ILZ917560 IVV917560 JFR917560 JPN917560 JZJ917560 KJF917560 KTB917560 LCX917560 LMT917560 LWP917560 MGL917560 MQH917560 NAD917560 NJZ917560 NTV917560 ODR917560 ONN917560 OXJ917560 PHF917560 PRB917560 QAX917560 QKT917560 QUP917560 REL917560 ROH917560 RYD917560 SHZ917560 SRV917560 TBR917560 TLN917560 TVJ917560 UFF917560 UPB917560 UYX917560 VIT917560 VSP917560 WCL917560 WMH917560 WWD917560 V983096 JR983096 TN983096 ADJ983096 ANF983096 AXB983096 BGX983096 BQT983096 CAP983096 CKL983096 CUH983096 DED983096 DNZ983096 DXV983096 EHR983096 ERN983096 FBJ983096 FLF983096 FVB983096 GEX983096 GOT983096 GYP983096 HIL983096 HSH983096 ICD983096 ILZ983096 IVV983096 JFR983096 JPN983096 JZJ983096 KJF983096 KTB983096 LCX983096 LMT983096 LWP983096 MGL983096 MQH983096 NAD983096 NJZ983096 NTV983096 ODR983096 ONN983096 OXJ983096 PHF983096 PRB983096 QAX983096 QKT983096 QUP983096 REL983096 ROH983096 RYD983096 SHZ983096 SRV983096 TBR983096 TLN983096 TVJ983096 UFF983096 UPB983096 UYX983096 VIT983096 VSP983096 WCL983096 WMH983096 WWD983096 K22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W22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W65558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W131094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W196630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W262166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W327702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W393238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W458774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W524310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W589846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W655382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W720918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W786454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W851990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W917526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W983062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WWJ983062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703D-054E-45BC-95F4-F347FFE2759E}">
  <sheetPr>
    <tabColor theme="4"/>
  </sheetPr>
  <dimension ref="A1:AN63"/>
  <sheetViews>
    <sheetView view="pageBreakPreview" zoomScale="130" zoomScaleNormal="100" zoomScaleSheetLayoutView="130" workbookViewId="0"/>
  </sheetViews>
  <sheetFormatPr defaultColWidth="2.625" defaultRowHeight="15" customHeight="1"/>
  <cols>
    <col min="1" max="6" width="2.625" style="576" customWidth="1"/>
    <col min="7" max="32" width="2.875" style="576" customWidth="1"/>
    <col min="33" max="39" width="2.625" style="576" customWidth="1"/>
    <col min="40" max="16384" width="2.625" style="576"/>
  </cols>
  <sheetData>
    <row r="1" spans="1:34" ht="6" customHeight="1"/>
    <row r="2" spans="1:34" ht="15.95" customHeight="1">
      <c r="B2" s="993" t="s">
        <v>3184</v>
      </c>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H2" s="596" t="s">
        <v>3152</v>
      </c>
    </row>
    <row r="3" spans="1:34" ht="14.25">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H3" s="596"/>
    </row>
    <row r="4" spans="1:34" ht="12" customHeight="1">
      <c r="A4" s="593"/>
      <c r="B4" s="979" t="s">
        <v>3174</v>
      </c>
      <c r="C4" s="980"/>
      <c r="D4" s="980"/>
      <c r="E4" s="980"/>
      <c r="F4" s="981"/>
      <c r="G4" s="979" t="s">
        <v>3162</v>
      </c>
      <c r="H4" s="980"/>
      <c r="I4" s="981"/>
      <c r="J4" s="591" t="s">
        <v>3166</v>
      </c>
      <c r="K4" s="590"/>
      <c r="L4" s="590"/>
      <c r="M4" s="590"/>
      <c r="N4" s="590"/>
      <c r="O4" s="977"/>
      <c r="P4" s="977"/>
      <c r="Q4" s="977"/>
      <c r="R4" s="977"/>
      <c r="S4" s="977"/>
      <c r="T4" s="977"/>
      <c r="U4" s="977"/>
      <c r="V4" s="977"/>
      <c r="W4" s="977"/>
      <c r="X4" s="977"/>
      <c r="Y4" s="977"/>
      <c r="Z4" s="977"/>
      <c r="AA4" s="977"/>
      <c r="AB4" s="977"/>
      <c r="AC4" s="977"/>
      <c r="AD4" s="977"/>
      <c r="AE4" s="977"/>
      <c r="AF4" s="978"/>
    </row>
    <row r="5" spans="1:34" ht="12" customHeight="1">
      <c r="B5" s="982"/>
      <c r="C5" s="983"/>
      <c r="D5" s="983"/>
      <c r="E5" s="983"/>
      <c r="F5" s="984"/>
      <c r="G5" s="982"/>
      <c r="H5" s="983"/>
      <c r="I5" s="984"/>
      <c r="J5" s="589" t="s">
        <v>194</v>
      </c>
      <c r="K5" s="588"/>
      <c r="L5" s="990"/>
      <c r="M5" s="990"/>
      <c r="N5" s="990"/>
      <c r="O5" s="983"/>
      <c r="P5" s="983"/>
      <c r="Q5" s="983"/>
      <c r="R5" s="983"/>
      <c r="S5" s="983"/>
      <c r="T5" s="983"/>
      <c r="U5" s="583"/>
      <c r="V5" s="583"/>
      <c r="W5" s="585" t="s">
        <v>3167</v>
      </c>
      <c r="X5" s="991"/>
      <c r="Y5" s="991"/>
      <c r="Z5" s="583" t="s">
        <v>3168</v>
      </c>
      <c r="AA5" s="583"/>
      <c r="AB5" s="583"/>
      <c r="AC5" s="583"/>
      <c r="AD5" s="583"/>
      <c r="AE5" s="583"/>
      <c r="AF5" s="584"/>
    </row>
    <row r="6" spans="1:34" s="594" customFormat="1" ht="12.75">
      <c r="A6" s="595"/>
      <c r="B6" s="982"/>
      <c r="C6" s="983"/>
      <c r="D6" s="983"/>
      <c r="E6" s="983"/>
      <c r="F6" s="984"/>
      <c r="G6" s="982"/>
      <c r="H6" s="983"/>
      <c r="I6" s="984"/>
      <c r="J6" s="582"/>
      <c r="K6" s="580"/>
      <c r="L6" s="969"/>
      <c r="M6" s="969"/>
      <c r="N6" s="969"/>
      <c r="O6" s="969"/>
      <c r="P6" s="969"/>
      <c r="Q6" s="969"/>
      <c r="R6" s="969"/>
      <c r="S6" s="969"/>
      <c r="T6" s="969"/>
      <c r="U6" s="578"/>
      <c r="V6" s="578"/>
      <c r="W6" s="581" t="s">
        <v>2868</v>
      </c>
      <c r="X6" s="969"/>
      <c r="Y6" s="969"/>
      <c r="Z6" s="969"/>
      <c r="AA6" s="580" t="s">
        <v>3062</v>
      </c>
      <c r="AB6" s="578"/>
      <c r="AC6" s="970"/>
      <c r="AD6" s="970"/>
      <c r="AE6" s="970"/>
      <c r="AF6" s="577" t="s">
        <v>2762</v>
      </c>
    </row>
    <row r="7" spans="1:34" s="594" customFormat="1" ht="12" customHeight="1">
      <c r="A7" s="576"/>
      <c r="B7" s="982"/>
      <c r="C7" s="983"/>
      <c r="D7" s="983"/>
      <c r="E7" s="983"/>
      <c r="F7" s="984"/>
      <c r="G7" s="982"/>
      <c r="H7" s="983"/>
      <c r="I7" s="984"/>
      <c r="J7" s="587" t="s">
        <v>3169</v>
      </c>
      <c r="K7" s="586"/>
      <c r="L7" s="586"/>
      <c r="M7" s="586"/>
      <c r="N7" s="988"/>
      <c r="O7" s="988"/>
      <c r="P7" s="988"/>
      <c r="Q7" s="988"/>
      <c r="R7" s="988"/>
      <c r="S7" s="988"/>
      <c r="T7" s="988"/>
      <c r="U7" s="988"/>
      <c r="V7" s="583"/>
      <c r="W7" s="585" t="s">
        <v>3170</v>
      </c>
      <c r="X7" s="989"/>
      <c r="Y7" s="989"/>
      <c r="Z7" s="583" t="s">
        <v>3171</v>
      </c>
      <c r="AA7" s="583"/>
      <c r="AB7" s="583"/>
      <c r="AC7" s="583"/>
      <c r="AD7" s="583"/>
      <c r="AE7" s="583"/>
      <c r="AF7" s="584"/>
    </row>
    <row r="8" spans="1:34" s="593" customFormat="1" ht="12" customHeight="1">
      <c r="A8" s="576"/>
      <c r="B8" s="982"/>
      <c r="C8" s="983"/>
      <c r="D8" s="983"/>
      <c r="E8" s="983"/>
      <c r="F8" s="984"/>
      <c r="G8" s="982"/>
      <c r="H8" s="983"/>
      <c r="I8" s="984"/>
      <c r="J8" s="582"/>
      <c r="K8" s="580"/>
      <c r="L8" s="581" t="s">
        <v>3040</v>
      </c>
      <c r="M8" s="580"/>
      <c r="N8" s="971" t="s">
        <v>3173</v>
      </c>
      <c r="O8" s="971"/>
      <c r="P8" s="971"/>
      <c r="Q8" s="971"/>
      <c r="R8" s="971"/>
      <c r="S8" s="971"/>
      <c r="T8" s="971"/>
      <c r="U8" s="971"/>
      <c r="V8" s="579" t="s">
        <v>2868</v>
      </c>
      <c r="W8" s="970"/>
      <c r="X8" s="970"/>
      <c r="Y8" s="578" t="s">
        <v>3172</v>
      </c>
      <c r="Z8" s="578"/>
      <c r="AA8" s="578"/>
      <c r="AB8" s="578" t="s">
        <v>2831</v>
      </c>
      <c r="AC8" s="970"/>
      <c r="AD8" s="970"/>
      <c r="AE8" s="970"/>
      <c r="AF8" s="577" t="s">
        <v>2762</v>
      </c>
    </row>
    <row r="9" spans="1:34" s="593" customFormat="1" ht="12" customHeight="1">
      <c r="A9" s="576"/>
      <c r="B9" s="982"/>
      <c r="C9" s="983"/>
      <c r="D9" s="983"/>
      <c r="E9" s="983"/>
      <c r="F9" s="984"/>
      <c r="G9" s="982"/>
      <c r="H9" s="983"/>
      <c r="I9" s="984"/>
      <c r="J9" s="972" t="s">
        <v>3175</v>
      </c>
      <c r="K9" s="973"/>
      <c r="L9" s="973"/>
      <c r="M9" s="973"/>
      <c r="N9" s="973"/>
      <c r="O9" s="973"/>
      <c r="P9" s="973"/>
      <c r="Q9" s="974"/>
      <c r="R9" s="974"/>
      <c r="S9" s="974"/>
      <c r="T9" s="974"/>
      <c r="U9" s="974"/>
      <c r="V9" s="975"/>
      <c r="W9" s="975"/>
      <c r="X9" s="975"/>
      <c r="Y9" s="975"/>
      <c r="Z9" s="975"/>
      <c r="AA9" s="975"/>
      <c r="AB9" s="975"/>
      <c r="AC9" s="975"/>
      <c r="AD9" s="975"/>
      <c r="AE9" s="975"/>
      <c r="AF9" s="976"/>
    </row>
    <row r="10" spans="1:34" s="593" customFormat="1" ht="12" customHeight="1">
      <c r="A10" s="576"/>
      <c r="B10" s="982"/>
      <c r="C10" s="983"/>
      <c r="D10" s="983"/>
      <c r="E10" s="983"/>
      <c r="F10" s="984"/>
      <c r="G10" s="982"/>
      <c r="H10" s="983"/>
      <c r="I10" s="984"/>
      <c r="J10" s="591" t="s">
        <v>3166</v>
      </c>
      <c r="K10" s="590"/>
      <c r="L10" s="590"/>
      <c r="M10" s="590"/>
      <c r="N10" s="590"/>
      <c r="O10" s="977"/>
      <c r="P10" s="977"/>
      <c r="Q10" s="977"/>
      <c r="R10" s="977"/>
      <c r="S10" s="977"/>
      <c r="T10" s="977"/>
      <c r="U10" s="977"/>
      <c r="V10" s="977"/>
      <c r="W10" s="977"/>
      <c r="X10" s="977"/>
      <c r="Y10" s="977"/>
      <c r="Z10" s="977"/>
      <c r="AA10" s="977"/>
      <c r="AB10" s="977"/>
      <c r="AC10" s="977"/>
      <c r="AD10" s="977"/>
      <c r="AE10" s="977"/>
      <c r="AF10" s="978"/>
    </row>
    <row r="11" spans="1:34" s="593" customFormat="1" ht="12" customHeight="1">
      <c r="A11" s="576"/>
      <c r="B11" s="982"/>
      <c r="C11" s="983"/>
      <c r="D11" s="983"/>
      <c r="E11" s="983"/>
      <c r="F11" s="984"/>
      <c r="G11" s="982"/>
      <c r="H11" s="983"/>
      <c r="I11" s="984"/>
      <c r="J11" s="589" t="s">
        <v>194</v>
      </c>
      <c r="K11" s="588"/>
      <c r="L11" s="990"/>
      <c r="M11" s="990"/>
      <c r="N11" s="990"/>
      <c r="O11" s="983"/>
      <c r="P11" s="983"/>
      <c r="Q11" s="983"/>
      <c r="R11" s="983"/>
      <c r="S11" s="983"/>
      <c r="T11" s="983"/>
      <c r="U11" s="583"/>
      <c r="V11" s="583"/>
      <c r="W11" s="585" t="s">
        <v>3167</v>
      </c>
      <c r="X11" s="991"/>
      <c r="Y11" s="991"/>
      <c r="Z11" s="583" t="s">
        <v>3168</v>
      </c>
      <c r="AA11" s="583"/>
      <c r="AB11" s="583"/>
      <c r="AC11" s="583"/>
      <c r="AD11" s="583"/>
      <c r="AE11" s="583"/>
      <c r="AF11" s="584"/>
    </row>
    <row r="12" spans="1:34" s="593" customFormat="1" ht="12" customHeight="1">
      <c r="A12" s="576"/>
      <c r="B12" s="982"/>
      <c r="C12" s="983"/>
      <c r="D12" s="983"/>
      <c r="E12" s="983"/>
      <c r="F12" s="984"/>
      <c r="G12" s="982"/>
      <c r="H12" s="983"/>
      <c r="I12" s="984"/>
      <c r="J12" s="582"/>
      <c r="K12" s="580"/>
      <c r="L12" s="969"/>
      <c r="M12" s="969"/>
      <c r="N12" s="969"/>
      <c r="O12" s="969"/>
      <c r="P12" s="969"/>
      <c r="Q12" s="969"/>
      <c r="R12" s="969"/>
      <c r="S12" s="969"/>
      <c r="T12" s="969"/>
      <c r="U12" s="578"/>
      <c r="V12" s="578"/>
      <c r="W12" s="581" t="s">
        <v>2868</v>
      </c>
      <c r="X12" s="969"/>
      <c r="Y12" s="969"/>
      <c r="Z12" s="969"/>
      <c r="AA12" s="580" t="s">
        <v>3062</v>
      </c>
      <c r="AB12" s="578"/>
      <c r="AC12" s="970"/>
      <c r="AD12" s="970"/>
      <c r="AE12" s="970"/>
      <c r="AF12" s="577" t="s">
        <v>2762</v>
      </c>
    </row>
    <row r="13" spans="1:34" s="593" customFormat="1" ht="12.95" customHeight="1">
      <c r="A13" s="576"/>
      <c r="B13" s="982"/>
      <c r="C13" s="983"/>
      <c r="D13" s="983"/>
      <c r="E13" s="983"/>
      <c r="F13" s="984"/>
      <c r="G13" s="982"/>
      <c r="H13" s="983"/>
      <c r="I13" s="984"/>
      <c r="J13" s="587" t="s">
        <v>3169</v>
      </c>
      <c r="K13" s="586"/>
      <c r="L13" s="586"/>
      <c r="M13" s="586"/>
      <c r="N13" s="988"/>
      <c r="O13" s="988"/>
      <c r="P13" s="988"/>
      <c r="Q13" s="988"/>
      <c r="R13" s="988"/>
      <c r="S13" s="988"/>
      <c r="T13" s="988"/>
      <c r="U13" s="988"/>
      <c r="V13" s="583"/>
      <c r="W13" s="585" t="s">
        <v>3170</v>
      </c>
      <c r="X13" s="989"/>
      <c r="Y13" s="989"/>
      <c r="Z13" s="583" t="s">
        <v>3171</v>
      </c>
      <c r="AA13" s="583"/>
      <c r="AB13" s="583"/>
      <c r="AC13" s="583"/>
      <c r="AD13" s="583"/>
      <c r="AE13" s="583"/>
      <c r="AF13" s="584"/>
    </row>
    <row r="14" spans="1:34" s="593" customFormat="1" ht="12" customHeight="1">
      <c r="A14" s="576"/>
      <c r="B14" s="982"/>
      <c r="C14" s="983"/>
      <c r="D14" s="983"/>
      <c r="E14" s="983"/>
      <c r="F14" s="984"/>
      <c r="G14" s="982"/>
      <c r="H14" s="983"/>
      <c r="I14" s="984"/>
      <c r="J14" s="582"/>
      <c r="K14" s="580"/>
      <c r="L14" s="581" t="s">
        <v>3040</v>
      </c>
      <c r="M14" s="580"/>
      <c r="N14" s="971" t="s">
        <v>3173</v>
      </c>
      <c r="O14" s="971"/>
      <c r="P14" s="971"/>
      <c r="Q14" s="971"/>
      <c r="R14" s="971"/>
      <c r="S14" s="971"/>
      <c r="T14" s="971"/>
      <c r="U14" s="971"/>
      <c r="V14" s="579" t="s">
        <v>2868</v>
      </c>
      <c r="W14" s="970"/>
      <c r="X14" s="970"/>
      <c r="Y14" s="578" t="s">
        <v>3172</v>
      </c>
      <c r="Z14" s="578"/>
      <c r="AA14" s="578"/>
      <c r="AB14" s="578" t="s">
        <v>2831</v>
      </c>
      <c r="AC14" s="970"/>
      <c r="AD14" s="970"/>
      <c r="AE14" s="970"/>
      <c r="AF14" s="577" t="s">
        <v>2762</v>
      </c>
    </row>
    <row r="15" spans="1:34" s="593" customFormat="1" ht="12" customHeight="1">
      <c r="A15" s="576"/>
      <c r="B15" s="982"/>
      <c r="C15" s="983"/>
      <c r="D15" s="983"/>
      <c r="E15" s="983"/>
      <c r="F15" s="984"/>
      <c r="G15" s="982"/>
      <c r="H15" s="983"/>
      <c r="I15" s="984"/>
      <c r="J15" s="972" t="s">
        <v>3175</v>
      </c>
      <c r="K15" s="973"/>
      <c r="L15" s="973"/>
      <c r="M15" s="973"/>
      <c r="N15" s="973"/>
      <c r="O15" s="973"/>
      <c r="P15" s="973"/>
      <c r="Q15" s="974"/>
      <c r="R15" s="974"/>
      <c r="S15" s="974"/>
      <c r="T15" s="974"/>
      <c r="U15" s="974"/>
      <c r="V15" s="975"/>
      <c r="W15" s="975"/>
      <c r="X15" s="975"/>
      <c r="Y15" s="975"/>
      <c r="Z15" s="975"/>
      <c r="AA15" s="975"/>
      <c r="AB15" s="975"/>
      <c r="AC15" s="975"/>
      <c r="AD15" s="975"/>
      <c r="AE15" s="975"/>
      <c r="AF15" s="976"/>
    </row>
    <row r="16" spans="1:34" s="593" customFormat="1" ht="12" customHeight="1">
      <c r="A16" s="576"/>
      <c r="B16" s="982"/>
      <c r="C16" s="983"/>
      <c r="D16" s="983"/>
      <c r="E16" s="983"/>
      <c r="F16" s="984"/>
      <c r="G16" s="982"/>
      <c r="H16" s="983"/>
      <c r="I16" s="984"/>
      <c r="J16" s="591" t="s">
        <v>3166</v>
      </c>
      <c r="K16" s="590"/>
      <c r="L16" s="590"/>
      <c r="M16" s="590"/>
      <c r="N16" s="590"/>
      <c r="O16" s="977"/>
      <c r="P16" s="977"/>
      <c r="Q16" s="977"/>
      <c r="R16" s="977"/>
      <c r="S16" s="977"/>
      <c r="T16" s="977"/>
      <c r="U16" s="977"/>
      <c r="V16" s="977"/>
      <c r="W16" s="977"/>
      <c r="X16" s="977"/>
      <c r="Y16" s="977"/>
      <c r="Z16" s="977"/>
      <c r="AA16" s="977"/>
      <c r="AB16" s="977"/>
      <c r="AC16" s="977"/>
      <c r="AD16" s="977"/>
      <c r="AE16" s="977"/>
      <c r="AF16" s="978"/>
    </row>
    <row r="17" spans="1:40" s="593" customFormat="1" ht="12" customHeight="1">
      <c r="A17" s="576"/>
      <c r="B17" s="982"/>
      <c r="C17" s="983"/>
      <c r="D17" s="983"/>
      <c r="E17" s="983"/>
      <c r="F17" s="984"/>
      <c r="G17" s="982"/>
      <c r="H17" s="983"/>
      <c r="I17" s="984"/>
      <c r="J17" s="589" t="s">
        <v>194</v>
      </c>
      <c r="K17" s="588"/>
      <c r="L17" s="990"/>
      <c r="M17" s="990"/>
      <c r="N17" s="990"/>
      <c r="O17" s="983"/>
      <c r="P17" s="983"/>
      <c r="Q17" s="983"/>
      <c r="R17" s="983"/>
      <c r="S17" s="983"/>
      <c r="T17" s="983"/>
      <c r="U17" s="583"/>
      <c r="V17" s="583"/>
      <c r="W17" s="585" t="s">
        <v>3167</v>
      </c>
      <c r="X17" s="991"/>
      <c r="Y17" s="991"/>
      <c r="Z17" s="583" t="s">
        <v>3168</v>
      </c>
      <c r="AA17" s="583"/>
      <c r="AB17" s="583"/>
      <c r="AC17" s="583"/>
      <c r="AD17" s="583"/>
      <c r="AE17" s="583"/>
      <c r="AF17" s="584"/>
    </row>
    <row r="18" spans="1:40" s="593" customFormat="1" ht="12" customHeight="1">
      <c r="A18" s="576"/>
      <c r="B18" s="982"/>
      <c r="C18" s="983"/>
      <c r="D18" s="983"/>
      <c r="E18" s="983"/>
      <c r="F18" s="984"/>
      <c r="G18" s="982"/>
      <c r="H18" s="983"/>
      <c r="I18" s="984"/>
      <c r="J18" s="582"/>
      <c r="K18" s="580"/>
      <c r="L18" s="969"/>
      <c r="M18" s="969"/>
      <c r="N18" s="969"/>
      <c r="O18" s="969"/>
      <c r="P18" s="969"/>
      <c r="Q18" s="969"/>
      <c r="R18" s="969"/>
      <c r="S18" s="969"/>
      <c r="T18" s="969"/>
      <c r="U18" s="578"/>
      <c r="V18" s="578"/>
      <c r="W18" s="581" t="s">
        <v>2868</v>
      </c>
      <c r="X18" s="969"/>
      <c r="Y18" s="969"/>
      <c r="Z18" s="969"/>
      <c r="AA18" s="580" t="s">
        <v>3062</v>
      </c>
      <c r="AB18" s="578"/>
      <c r="AC18" s="970"/>
      <c r="AD18" s="970"/>
      <c r="AE18" s="970"/>
      <c r="AF18" s="577" t="s">
        <v>2762</v>
      </c>
      <c r="AN18" s="592"/>
    </row>
    <row r="19" spans="1:40" s="583" customFormat="1" ht="12.95" customHeight="1">
      <c r="A19" s="576"/>
      <c r="B19" s="982"/>
      <c r="C19" s="983"/>
      <c r="D19" s="983"/>
      <c r="E19" s="983"/>
      <c r="F19" s="984"/>
      <c r="G19" s="982"/>
      <c r="H19" s="983"/>
      <c r="I19" s="984"/>
      <c r="J19" s="587" t="s">
        <v>3169</v>
      </c>
      <c r="K19" s="586"/>
      <c r="L19" s="586"/>
      <c r="M19" s="586"/>
      <c r="N19" s="988"/>
      <c r="O19" s="988"/>
      <c r="P19" s="988"/>
      <c r="Q19" s="988"/>
      <c r="R19" s="988"/>
      <c r="S19" s="988"/>
      <c r="T19" s="988"/>
      <c r="U19" s="988"/>
      <c r="W19" s="585" t="s">
        <v>3170</v>
      </c>
      <c r="X19" s="989"/>
      <c r="Y19" s="989"/>
      <c r="Z19" s="583" t="s">
        <v>3171</v>
      </c>
      <c r="AF19" s="584"/>
      <c r="AN19" s="592"/>
    </row>
    <row r="20" spans="1:40" s="583" customFormat="1" ht="12.95" customHeight="1">
      <c r="A20" s="576"/>
      <c r="B20" s="982"/>
      <c r="C20" s="983"/>
      <c r="D20" s="983"/>
      <c r="E20" s="983"/>
      <c r="F20" s="984"/>
      <c r="G20" s="982"/>
      <c r="H20" s="983"/>
      <c r="I20" s="984"/>
      <c r="J20" s="582"/>
      <c r="K20" s="580"/>
      <c r="L20" s="581" t="s">
        <v>3040</v>
      </c>
      <c r="M20" s="580"/>
      <c r="N20" s="971" t="s">
        <v>3173</v>
      </c>
      <c r="O20" s="971"/>
      <c r="P20" s="971"/>
      <c r="Q20" s="971"/>
      <c r="R20" s="971"/>
      <c r="S20" s="971"/>
      <c r="T20" s="971"/>
      <c r="U20" s="971"/>
      <c r="V20" s="579" t="s">
        <v>2868</v>
      </c>
      <c r="W20" s="970"/>
      <c r="X20" s="970"/>
      <c r="Y20" s="578" t="s">
        <v>3172</v>
      </c>
      <c r="Z20" s="578"/>
      <c r="AA20" s="578"/>
      <c r="AB20" s="578" t="s">
        <v>2831</v>
      </c>
      <c r="AC20" s="970"/>
      <c r="AD20" s="970"/>
      <c r="AE20" s="970"/>
      <c r="AF20" s="577" t="s">
        <v>2762</v>
      </c>
      <c r="AN20" s="592"/>
    </row>
    <row r="21" spans="1:40" s="583" customFormat="1" ht="12.95" customHeight="1">
      <c r="A21" s="576"/>
      <c r="B21" s="982"/>
      <c r="C21" s="983"/>
      <c r="D21" s="983"/>
      <c r="E21" s="983"/>
      <c r="F21" s="984"/>
      <c r="G21" s="982"/>
      <c r="H21" s="983"/>
      <c r="I21" s="984"/>
      <c r="J21" s="972" t="s">
        <v>3175</v>
      </c>
      <c r="K21" s="973"/>
      <c r="L21" s="973"/>
      <c r="M21" s="973"/>
      <c r="N21" s="973"/>
      <c r="O21" s="973"/>
      <c r="P21" s="973"/>
      <c r="Q21" s="974"/>
      <c r="R21" s="974"/>
      <c r="S21" s="974"/>
      <c r="T21" s="974"/>
      <c r="U21" s="974"/>
      <c r="V21" s="975"/>
      <c r="W21" s="975"/>
      <c r="X21" s="975"/>
      <c r="Y21" s="975"/>
      <c r="Z21" s="975"/>
      <c r="AA21" s="975"/>
      <c r="AB21" s="975"/>
      <c r="AC21" s="975"/>
      <c r="AD21" s="975"/>
      <c r="AE21" s="975"/>
      <c r="AF21" s="976"/>
      <c r="AN21" s="592"/>
    </row>
    <row r="22" spans="1:40" s="583" customFormat="1" ht="12.95" customHeight="1">
      <c r="A22" s="576"/>
      <c r="B22" s="982"/>
      <c r="C22" s="983"/>
      <c r="D22" s="983"/>
      <c r="E22" s="983"/>
      <c r="F22" s="984"/>
      <c r="G22" s="982"/>
      <c r="H22" s="983"/>
      <c r="I22" s="984"/>
      <c r="J22" s="591" t="s">
        <v>3166</v>
      </c>
      <c r="K22" s="590"/>
      <c r="L22" s="590"/>
      <c r="M22" s="590"/>
      <c r="N22" s="590"/>
      <c r="O22" s="977"/>
      <c r="P22" s="977"/>
      <c r="Q22" s="977"/>
      <c r="R22" s="977"/>
      <c r="S22" s="977"/>
      <c r="T22" s="977"/>
      <c r="U22" s="977"/>
      <c r="V22" s="977"/>
      <c r="W22" s="977"/>
      <c r="X22" s="977"/>
      <c r="Y22" s="977"/>
      <c r="Z22" s="977"/>
      <c r="AA22" s="977"/>
      <c r="AB22" s="977"/>
      <c r="AC22" s="977"/>
      <c r="AD22" s="977"/>
      <c r="AE22" s="977"/>
      <c r="AF22" s="978"/>
      <c r="AN22" s="592"/>
    </row>
    <row r="23" spans="1:40" s="583" customFormat="1" ht="12.95" customHeight="1">
      <c r="A23" s="576"/>
      <c r="B23" s="982"/>
      <c r="C23" s="983"/>
      <c r="D23" s="983"/>
      <c r="E23" s="983"/>
      <c r="F23" s="984"/>
      <c r="G23" s="982"/>
      <c r="H23" s="983"/>
      <c r="I23" s="984"/>
      <c r="J23" s="589" t="s">
        <v>194</v>
      </c>
      <c r="K23" s="588"/>
      <c r="L23" s="990"/>
      <c r="M23" s="990"/>
      <c r="N23" s="990"/>
      <c r="O23" s="983"/>
      <c r="P23" s="983"/>
      <c r="Q23" s="983"/>
      <c r="R23" s="983"/>
      <c r="S23" s="983"/>
      <c r="T23" s="983"/>
      <c r="W23" s="585" t="s">
        <v>3167</v>
      </c>
      <c r="X23" s="991"/>
      <c r="Y23" s="991"/>
      <c r="Z23" s="583" t="s">
        <v>3168</v>
      </c>
      <c r="AF23" s="584"/>
    </row>
    <row r="24" spans="1:40" s="583" customFormat="1" ht="12.95" customHeight="1">
      <c r="A24" s="576"/>
      <c r="B24" s="982"/>
      <c r="C24" s="983"/>
      <c r="D24" s="983"/>
      <c r="E24" s="983"/>
      <c r="F24" s="984"/>
      <c r="G24" s="982"/>
      <c r="H24" s="983"/>
      <c r="I24" s="984"/>
      <c r="J24" s="582"/>
      <c r="K24" s="580"/>
      <c r="L24" s="969"/>
      <c r="M24" s="969"/>
      <c r="N24" s="969"/>
      <c r="O24" s="969"/>
      <c r="P24" s="969"/>
      <c r="Q24" s="969"/>
      <c r="R24" s="969"/>
      <c r="S24" s="969"/>
      <c r="T24" s="969"/>
      <c r="U24" s="578"/>
      <c r="V24" s="578"/>
      <c r="W24" s="581" t="s">
        <v>2868</v>
      </c>
      <c r="X24" s="969"/>
      <c r="Y24" s="969"/>
      <c r="Z24" s="969"/>
      <c r="AA24" s="580" t="s">
        <v>3062</v>
      </c>
      <c r="AB24" s="578"/>
      <c r="AC24" s="970"/>
      <c r="AD24" s="970"/>
      <c r="AE24" s="970"/>
      <c r="AF24" s="577" t="s">
        <v>2762</v>
      </c>
      <c r="AN24" s="592"/>
    </row>
    <row r="25" spans="1:40" s="583" customFormat="1" ht="12.95" customHeight="1">
      <c r="A25" s="576"/>
      <c r="B25" s="982"/>
      <c r="C25" s="983"/>
      <c r="D25" s="983"/>
      <c r="E25" s="983"/>
      <c r="F25" s="984"/>
      <c r="G25" s="982"/>
      <c r="H25" s="983"/>
      <c r="I25" s="984"/>
      <c r="J25" s="587" t="s">
        <v>3169</v>
      </c>
      <c r="K25" s="586"/>
      <c r="L25" s="586"/>
      <c r="M25" s="586"/>
      <c r="N25" s="988"/>
      <c r="O25" s="988"/>
      <c r="P25" s="988"/>
      <c r="Q25" s="988"/>
      <c r="R25" s="988"/>
      <c r="S25" s="988"/>
      <c r="T25" s="988"/>
      <c r="U25" s="988"/>
      <c r="W25" s="585" t="s">
        <v>3170</v>
      </c>
      <c r="X25" s="989"/>
      <c r="Y25" s="989"/>
      <c r="Z25" s="583" t="s">
        <v>3171</v>
      </c>
      <c r="AF25" s="584"/>
      <c r="AN25" s="592"/>
    </row>
    <row r="26" spans="1:40" s="583" customFormat="1" ht="12.95" customHeight="1">
      <c r="A26" s="576"/>
      <c r="B26" s="982"/>
      <c r="C26" s="983"/>
      <c r="D26" s="983"/>
      <c r="E26" s="983"/>
      <c r="F26" s="984"/>
      <c r="G26" s="982"/>
      <c r="H26" s="983"/>
      <c r="I26" s="984"/>
      <c r="J26" s="582"/>
      <c r="K26" s="580"/>
      <c r="L26" s="581" t="s">
        <v>3040</v>
      </c>
      <c r="M26" s="580"/>
      <c r="N26" s="971" t="s">
        <v>3173</v>
      </c>
      <c r="O26" s="971"/>
      <c r="P26" s="971"/>
      <c r="Q26" s="971"/>
      <c r="R26" s="971"/>
      <c r="S26" s="971"/>
      <c r="T26" s="971"/>
      <c r="U26" s="971"/>
      <c r="V26" s="579" t="s">
        <v>2868</v>
      </c>
      <c r="W26" s="970"/>
      <c r="X26" s="970"/>
      <c r="Y26" s="578" t="s">
        <v>3172</v>
      </c>
      <c r="Z26" s="578"/>
      <c r="AA26" s="578"/>
      <c r="AB26" s="578" t="s">
        <v>2831</v>
      </c>
      <c r="AC26" s="970"/>
      <c r="AD26" s="970"/>
      <c r="AE26" s="970"/>
      <c r="AF26" s="577" t="s">
        <v>2762</v>
      </c>
    </row>
    <row r="27" spans="1:40" s="583" customFormat="1" ht="12.95" customHeight="1">
      <c r="A27" s="576"/>
      <c r="B27" s="982"/>
      <c r="C27" s="983"/>
      <c r="D27" s="983"/>
      <c r="E27" s="983"/>
      <c r="F27" s="984"/>
      <c r="G27" s="982"/>
      <c r="H27" s="983"/>
      <c r="I27" s="984"/>
      <c r="J27" s="972" t="s">
        <v>3175</v>
      </c>
      <c r="K27" s="973"/>
      <c r="L27" s="973"/>
      <c r="M27" s="973"/>
      <c r="N27" s="973"/>
      <c r="O27" s="973"/>
      <c r="P27" s="973"/>
      <c r="Q27" s="974"/>
      <c r="R27" s="974"/>
      <c r="S27" s="974"/>
      <c r="T27" s="974"/>
      <c r="U27" s="974"/>
      <c r="V27" s="975"/>
      <c r="W27" s="975"/>
      <c r="X27" s="975"/>
      <c r="Y27" s="975"/>
      <c r="Z27" s="975"/>
      <c r="AA27" s="975"/>
      <c r="AB27" s="975"/>
      <c r="AC27" s="975"/>
      <c r="AD27" s="975"/>
      <c r="AE27" s="975"/>
      <c r="AF27" s="976"/>
    </row>
    <row r="28" spans="1:40" s="583" customFormat="1" ht="12.95" customHeight="1">
      <c r="B28" s="982"/>
      <c r="C28" s="983"/>
      <c r="D28" s="983"/>
      <c r="E28" s="983"/>
      <c r="F28" s="984"/>
      <c r="G28" s="982"/>
      <c r="H28" s="983"/>
      <c r="I28" s="984"/>
      <c r="J28" s="591" t="s">
        <v>3166</v>
      </c>
      <c r="K28" s="590"/>
      <c r="L28" s="590"/>
      <c r="M28" s="590"/>
      <c r="N28" s="590"/>
      <c r="O28" s="977"/>
      <c r="P28" s="977"/>
      <c r="Q28" s="977"/>
      <c r="R28" s="977"/>
      <c r="S28" s="977"/>
      <c r="T28" s="977"/>
      <c r="U28" s="977"/>
      <c r="V28" s="977"/>
      <c r="W28" s="977"/>
      <c r="X28" s="977"/>
      <c r="Y28" s="977"/>
      <c r="Z28" s="977"/>
      <c r="AA28" s="977"/>
      <c r="AB28" s="977"/>
      <c r="AC28" s="977"/>
      <c r="AD28" s="977"/>
      <c r="AE28" s="977"/>
      <c r="AF28" s="978"/>
      <c r="AH28" s="992"/>
    </row>
    <row r="29" spans="1:40" s="583" customFormat="1" ht="12.95" customHeight="1">
      <c r="B29" s="982"/>
      <c r="C29" s="983"/>
      <c r="D29" s="983"/>
      <c r="E29" s="983"/>
      <c r="F29" s="984"/>
      <c r="G29" s="982"/>
      <c r="H29" s="983"/>
      <c r="I29" s="984"/>
      <c r="J29" s="589" t="s">
        <v>194</v>
      </c>
      <c r="K29" s="588"/>
      <c r="L29" s="990"/>
      <c r="M29" s="990"/>
      <c r="N29" s="990"/>
      <c r="O29" s="983"/>
      <c r="P29" s="983"/>
      <c r="Q29" s="983"/>
      <c r="R29" s="983"/>
      <c r="S29" s="983"/>
      <c r="T29" s="983"/>
      <c r="W29" s="585" t="s">
        <v>3167</v>
      </c>
      <c r="X29" s="991"/>
      <c r="Y29" s="991"/>
      <c r="Z29" s="583" t="s">
        <v>3168</v>
      </c>
      <c r="AF29" s="584"/>
      <c r="AH29" s="992"/>
    </row>
    <row r="30" spans="1:40" s="583" customFormat="1" ht="12.95" customHeight="1">
      <c r="B30" s="982"/>
      <c r="C30" s="983"/>
      <c r="D30" s="983"/>
      <c r="E30" s="983"/>
      <c r="F30" s="984"/>
      <c r="G30" s="982"/>
      <c r="H30" s="983"/>
      <c r="I30" s="984"/>
      <c r="J30" s="582"/>
      <c r="K30" s="580"/>
      <c r="L30" s="969"/>
      <c r="M30" s="969"/>
      <c r="N30" s="969"/>
      <c r="O30" s="969"/>
      <c r="P30" s="969"/>
      <c r="Q30" s="969"/>
      <c r="R30" s="969"/>
      <c r="S30" s="969"/>
      <c r="T30" s="969"/>
      <c r="U30" s="578"/>
      <c r="V30" s="578"/>
      <c r="W30" s="581" t="s">
        <v>2868</v>
      </c>
      <c r="X30" s="969"/>
      <c r="Y30" s="969"/>
      <c r="Z30" s="969"/>
      <c r="AA30" s="580" t="s">
        <v>3062</v>
      </c>
      <c r="AB30" s="578"/>
      <c r="AC30" s="970"/>
      <c r="AD30" s="970"/>
      <c r="AE30" s="970"/>
      <c r="AF30" s="577" t="s">
        <v>2762</v>
      </c>
      <c r="AH30" s="992"/>
    </row>
    <row r="31" spans="1:40" s="583" customFormat="1" ht="12.95" customHeight="1">
      <c r="B31" s="982"/>
      <c r="C31" s="983"/>
      <c r="D31" s="983"/>
      <c r="E31" s="983"/>
      <c r="F31" s="984"/>
      <c r="G31" s="982"/>
      <c r="H31" s="983"/>
      <c r="I31" s="984"/>
      <c r="J31" s="587" t="s">
        <v>3169</v>
      </c>
      <c r="K31" s="586"/>
      <c r="L31" s="586"/>
      <c r="M31" s="586"/>
      <c r="N31" s="988"/>
      <c r="O31" s="988"/>
      <c r="P31" s="988"/>
      <c r="Q31" s="988"/>
      <c r="R31" s="988"/>
      <c r="S31" s="988"/>
      <c r="T31" s="988"/>
      <c r="U31" s="988"/>
      <c r="W31" s="585" t="s">
        <v>3170</v>
      </c>
      <c r="X31" s="989"/>
      <c r="Y31" s="989"/>
      <c r="Z31" s="583" t="s">
        <v>3171</v>
      </c>
      <c r="AF31" s="584"/>
      <c r="AH31" s="992"/>
    </row>
    <row r="32" spans="1:40" s="583" customFormat="1" ht="12.95" customHeight="1">
      <c r="B32" s="982"/>
      <c r="C32" s="983"/>
      <c r="D32" s="983"/>
      <c r="E32" s="983"/>
      <c r="F32" s="984"/>
      <c r="G32" s="982"/>
      <c r="H32" s="983"/>
      <c r="I32" s="984"/>
      <c r="J32" s="582"/>
      <c r="K32" s="580"/>
      <c r="L32" s="581" t="s">
        <v>3040</v>
      </c>
      <c r="M32" s="580"/>
      <c r="N32" s="971" t="s">
        <v>3173</v>
      </c>
      <c r="O32" s="971"/>
      <c r="P32" s="971"/>
      <c r="Q32" s="971"/>
      <c r="R32" s="971"/>
      <c r="S32" s="971"/>
      <c r="T32" s="971"/>
      <c r="U32" s="971"/>
      <c r="V32" s="579" t="s">
        <v>2868</v>
      </c>
      <c r="W32" s="970"/>
      <c r="X32" s="970"/>
      <c r="Y32" s="578" t="s">
        <v>3172</v>
      </c>
      <c r="Z32" s="578"/>
      <c r="AA32" s="578"/>
      <c r="AB32" s="578" t="s">
        <v>2831</v>
      </c>
      <c r="AC32" s="970"/>
      <c r="AD32" s="970"/>
      <c r="AE32" s="970"/>
      <c r="AF32" s="577" t="s">
        <v>2762</v>
      </c>
      <c r="AH32" s="992"/>
    </row>
    <row r="33" spans="2:34" s="583" customFormat="1" ht="12.95" customHeight="1">
      <c r="B33" s="982"/>
      <c r="C33" s="983"/>
      <c r="D33" s="983"/>
      <c r="E33" s="983"/>
      <c r="F33" s="984"/>
      <c r="G33" s="985"/>
      <c r="H33" s="986"/>
      <c r="I33" s="987"/>
      <c r="J33" s="972" t="s">
        <v>3175</v>
      </c>
      <c r="K33" s="973"/>
      <c r="L33" s="973"/>
      <c r="M33" s="973"/>
      <c r="N33" s="973"/>
      <c r="O33" s="973"/>
      <c r="P33" s="973"/>
      <c r="Q33" s="974"/>
      <c r="R33" s="974"/>
      <c r="S33" s="974"/>
      <c r="T33" s="974"/>
      <c r="U33" s="974"/>
      <c r="V33" s="975"/>
      <c r="W33" s="975"/>
      <c r="X33" s="975"/>
      <c r="Y33" s="975"/>
      <c r="Z33" s="975"/>
      <c r="AA33" s="975"/>
      <c r="AB33" s="975"/>
      <c r="AC33" s="975"/>
      <c r="AD33" s="975"/>
      <c r="AE33" s="975"/>
      <c r="AF33" s="976"/>
      <c r="AH33" s="992"/>
    </row>
    <row r="34" spans="2:34" s="583" customFormat="1" ht="12.95" customHeight="1">
      <c r="B34" s="982"/>
      <c r="C34" s="983"/>
      <c r="D34" s="983"/>
      <c r="E34" s="983"/>
      <c r="F34" s="984"/>
      <c r="G34" s="979" t="s">
        <v>3163</v>
      </c>
      <c r="H34" s="980"/>
      <c r="I34" s="981"/>
      <c r="J34" s="591" t="s">
        <v>3166</v>
      </c>
      <c r="K34" s="590"/>
      <c r="L34" s="590"/>
      <c r="M34" s="590"/>
      <c r="N34" s="590"/>
      <c r="O34" s="977"/>
      <c r="P34" s="977"/>
      <c r="Q34" s="977"/>
      <c r="R34" s="977"/>
      <c r="S34" s="977"/>
      <c r="T34" s="977"/>
      <c r="U34" s="977"/>
      <c r="V34" s="977"/>
      <c r="W34" s="977"/>
      <c r="X34" s="977"/>
      <c r="Y34" s="977"/>
      <c r="Z34" s="977"/>
      <c r="AA34" s="977"/>
      <c r="AB34" s="977"/>
      <c r="AC34" s="977"/>
      <c r="AD34" s="977"/>
      <c r="AE34" s="977"/>
      <c r="AF34" s="978"/>
      <c r="AH34" s="992"/>
    </row>
    <row r="35" spans="2:34" s="583" customFormat="1" ht="12.95" customHeight="1">
      <c r="B35" s="982"/>
      <c r="C35" s="983"/>
      <c r="D35" s="983"/>
      <c r="E35" s="983"/>
      <c r="F35" s="984"/>
      <c r="G35" s="982"/>
      <c r="H35" s="983"/>
      <c r="I35" s="984"/>
      <c r="J35" s="589" t="s">
        <v>194</v>
      </c>
      <c r="K35" s="588"/>
      <c r="L35" s="990"/>
      <c r="M35" s="990"/>
      <c r="N35" s="990"/>
      <c r="O35" s="983"/>
      <c r="P35" s="983"/>
      <c r="Q35" s="983"/>
      <c r="R35" s="983"/>
      <c r="S35" s="983"/>
      <c r="T35" s="983"/>
      <c r="W35" s="585" t="s">
        <v>3167</v>
      </c>
      <c r="X35" s="991"/>
      <c r="Y35" s="991"/>
      <c r="Z35" s="583" t="s">
        <v>3168</v>
      </c>
      <c r="AF35" s="584"/>
      <c r="AH35" s="992"/>
    </row>
    <row r="36" spans="2:34" s="583" customFormat="1" ht="12.95" customHeight="1">
      <c r="B36" s="982"/>
      <c r="C36" s="983"/>
      <c r="D36" s="983"/>
      <c r="E36" s="983"/>
      <c r="F36" s="984"/>
      <c r="G36" s="982"/>
      <c r="H36" s="983"/>
      <c r="I36" s="984"/>
      <c r="J36" s="582"/>
      <c r="K36" s="580"/>
      <c r="L36" s="969"/>
      <c r="M36" s="969"/>
      <c r="N36" s="969"/>
      <c r="O36" s="969"/>
      <c r="P36" s="969"/>
      <c r="Q36" s="969"/>
      <c r="R36" s="969"/>
      <c r="S36" s="969"/>
      <c r="T36" s="969"/>
      <c r="U36" s="578"/>
      <c r="V36" s="578"/>
      <c r="W36" s="581" t="s">
        <v>2868</v>
      </c>
      <c r="X36" s="969"/>
      <c r="Y36" s="969"/>
      <c r="Z36" s="969"/>
      <c r="AA36" s="580" t="s">
        <v>3062</v>
      </c>
      <c r="AB36" s="578"/>
      <c r="AC36" s="970"/>
      <c r="AD36" s="970"/>
      <c r="AE36" s="970"/>
      <c r="AF36" s="577" t="s">
        <v>2762</v>
      </c>
      <c r="AH36" s="992"/>
    </row>
    <row r="37" spans="2:34" s="583" customFormat="1" ht="12.95" customHeight="1">
      <c r="B37" s="982"/>
      <c r="C37" s="983"/>
      <c r="D37" s="983"/>
      <c r="E37" s="983"/>
      <c r="F37" s="984"/>
      <c r="G37" s="982"/>
      <c r="H37" s="983"/>
      <c r="I37" s="984"/>
      <c r="J37" s="587" t="s">
        <v>3169</v>
      </c>
      <c r="K37" s="586"/>
      <c r="L37" s="586"/>
      <c r="M37" s="586"/>
      <c r="N37" s="988"/>
      <c r="O37" s="988"/>
      <c r="P37" s="988"/>
      <c r="Q37" s="988"/>
      <c r="R37" s="988"/>
      <c r="S37" s="988"/>
      <c r="T37" s="988"/>
      <c r="U37" s="988"/>
      <c r="W37" s="585" t="s">
        <v>3170</v>
      </c>
      <c r="X37" s="989"/>
      <c r="Y37" s="989"/>
      <c r="Z37" s="583" t="s">
        <v>3171</v>
      </c>
      <c r="AF37" s="584"/>
      <c r="AH37" s="992"/>
    </row>
    <row r="38" spans="2:34" s="583" customFormat="1" ht="12.95" customHeight="1">
      <c r="B38" s="982"/>
      <c r="C38" s="983"/>
      <c r="D38" s="983"/>
      <c r="E38" s="983"/>
      <c r="F38" s="984"/>
      <c r="G38" s="982"/>
      <c r="H38" s="983"/>
      <c r="I38" s="984"/>
      <c r="J38" s="582"/>
      <c r="K38" s="580"/>
      <c r="L38" s="581" t="s">
        <v>3040</v>
      </c>
      <c r="M38" s="580"/>
      <c r="N38" s="971" t="s">
        <v>3173</v>
      </c>
      <c r="O38" s="971"/>
      <c r="P38" s="971"/>
      <c r="Q38" s="971"/>
      <c r="R38" s="971"/>
      <c r="S38" s="971"/>
      <c r="T38" s="971"/>
      <c r="U38" s="971"/>
      <c r="V38" s="579" t="s">
        <v>2868</v>
      </c>
      <c r="W38" s="970"/>
      <c r="X38" s="970"/>
      <c r="Y38" s="578" t="s">
        <v>3172</v>
      </c>
      <c r="Z38" s="578"/>
      <c r="AA38" s="578"/>
      <c r="AB38" s="578" t="s">
        <v>2831</v>
      </c>
      <c r="AC38" s="970"/>
      <c r="AD38" s="970"/>
      <c r="AE38" s="970"/>
      <c r="AF38" s="577" t="s">
        <v>2762</v>
      </c>
    </row>
    <row r="39" spans="2:34" s="583" customFormat="1" ht="12.95" customHeight="1">
      <c r="B39" s="982"/>
      <c r="C39" s="983"/>
      <c r="D39" s="983"/>
      <c r="E39" s="983"/>
      <c r="F39" s="984"/>
      <c r="G39" s="982"/>
      <c r="H39" s="983"/>
      <c r="I39" s="984"/>
      <c r="J39" s="972" t="s">
        <v>3175</v>
      </c>
      <c r="K39" s="973"/>
      <c r="L39" s="973"/>
      <c r="M39" s="973"/>
      <c r="N39" s="973"/>
      <c r="O39" s="973"/>
      <c r="P39" s="973"/>
      <c r="Q39" s="974"/>
      <c r="R39" s="974"/>
      <c r="S39" s="974"/>
      <c r="T39" s="974"/>
      <c r="U39" s="974"/>
      <c r="V39" s="975"/>
      <c r="W39" s="975"/>
      <c r="X39" s="975"/>
      <c r="Y39" s="975"/>
      <c r="Z39" s="975"/>
      <c r="AA39" s="975"/>
      <c r="AB39" s="975"/>
      <c r="AC39" s="975"/>
      <c r="AD39" s="975"/>
      <c r="AE39" s="975"/>
      <c r="AF39" s="976"/>
    </row>
    <row r="40" spans="2:34" s="583" customFormat="1" ht="12.95" customHeight="1">
      <c r="B40" s="982"/>
      <c r="C40" s="983"/>
      <c r="D40" s="983"/>
      <c r="E40" s="983"/>
      <c r="F40" s="984"/>
      <c r="G40" s="982"/>
      <c r="H40" s="983"/>
      <c r="I40" s="984"/>
      <c r="J40" s="591" t="s">
        <v>3166</v>
      </c>
      <c r="K40" s="590"/>
      <c r="L40" s="590"/>
      <c r="M40" s="590"/>
      <c r="N40" s="590"/>
      <c r="O40" s="977"/>
      <c r="P40" s="977"/>
      <c r="Q40" s="977"/>
      <c r="R40" s="977"/>
      <c r="S40" s="977"/>
      <c r="T40" s="977"/>
      <c r="U40" s="977"/>
      <c r="V40" s="977"/>
      <c r="W40" s="977"/>
      <c r="X40" s="977"/>
      <c r="Y40" s="977"/>
      <c r="Z40" s="977"/>
      <c r="AA40" s="977"/>
      <c r="AB40" s="977"/>
      <c r="AC40" s="977"/>
      <c r="AD40" s="977"/>
      <c r="AE40" s="977"/>
      <c r="AF40" s="978"/>
    </row>
    <row r="41" spans="2:34" s="583" customFormat="1" ht="12.95" customHeight="1">
      <c r="B41" s="982"/>
      <c r="C41" s="983"/>
      <c r="D41" s="983"/>
      <c r="E41" s="983"/>
      <c r="F41" s="984"/>
      <c r="G41" s="982"/>
      <c r="H41" s="983"/>
      <c r="I41" s="984"/>
      <c r="J41" s="589" t="s">
        <v>194</v>
      </c>
      <c r="K41" s="588"/>
      <c r="L41" s="990"/>
      <c r="M41" s="990"/>
      <c r="N41" s="990"/>
      <c r="O41" s="983"/>
      <c r="P41" s="983"/>
      <c r="Q41" s="983"/>
      <c r="R41" s="983"/>
      <c r="S41" s="983"/>
      <c r="T41" s="983"/>
      <c r="W41" s="585" t="s">
        <v>3167</v>
      </c>
      <c r="X41" s="991"/>
      <c r="Y41" s="991"/>
      <c r="Z41" s="583" t="s">
        <v>3168</v>
      </c>
      <c r="AF41" s="584"/>
    </row>
    <row r="42" spans="2:34" s="583" customFormat="1" ht="12.95" customHeight="1">
      <c r="B42" s="982"/>
      <c r="C42" s="983"/>
      <c r="D42" s="983"/>
      <c r="E42" s="983"/>
      <c r="F42" s="984"/>
      <c r="G42" s="982"/>
      <c r="H42" s="983"/>
      <c r="I42" s="984"/>
      <c r="J42" s="582"/>
      <c r="K42" s="580"/>
      <c r="L42" s="969"/>
      <c r="M42" s="969"/>
      <c r="N42" s="969"/>
      <c r="O42" s="969"/>
      <c r="P42" s="969"/>
      <c r="Q42" s="969"/>
      <c r="R42" s="969"/>
      <c r="S42" s="969"/>
      <c r="T42" s="969"/>
      <c r="U42" s="578"/>
      <c r="V42" s="578"/>
      <c r="W42" s="581" t="s">
        <v>2868</v>
      </c>
      <c r="X42" s="969"/>
      <c r="Y42" s="969"/>
      <c r="Z42" s="969"/>
      <c r="AA42" s="580" t="s">
        <v>3062</v>
      </c>
      <c r="AB42" s="578"/>
      <c r="AC42" s="970"/>
      <c r="AD42" s="970"/>
      <c r="AE42" s="970"/>
      <c r="AF42" s="577" t="s">
        <v>2762</v>
      </c>
    </row>
    <row r="43" spans="2:34" s="583" customFormat="1" ht="12.95" customHeight="1">
      <c r="B43" s="982"/>
      <c r="C43" s="983"/>
      <c r="D43" s="983"/>
      <c r="E43" s="983"/>
      <c r="F43" s="984"/>
      <c r="G43" s="982"/>
      <c r="H43" s="983"/>
      <c r="I43" s="984"/>
      <c r="J43" s="587" t="s">
        <v>3169</v>
      </c>
      <c r="K43" s="586"/>
      <c r="L43" s="586"/>
      <c r="M43" s="586"/>
      <c r="N43" s="988"/>
      <c r="O43" s="988"/>
      <c r="P43" s="988"/>
      <c r="Q43" s="988"/>
      <c r="R43" s="988"/>
      <c r="S43" s="988"/>
      <c r="T43" s="988"/>
      <c r="U43" s="988"/>
      <c r="W43" s="585" t="s">
        <v>3170</v>
      </c>
      <c r="X43" s="989"/>
      <c r="Y43" s="989"/>
      <c r="Z43" s="583" t="s">
        <v>3171</v>
      </c>
      <c r="AF43" s="584"/>
    </row>
    <row r="44" spans="2:34" s="583" customFormat="1" ht="12.95" customHeight="1">
      <c r="B44" s="982"/>
      <c r="C44" s="983"/>
      <c r="D44" s="983"/>
      <c r="E44" s="983"/>
      <c r="F44" s="984"/>
      <c r="G44" s="982"/>
      <c r="H44" s="983"/>
      <c r="I44" s="984"/>
      <c r="J44" s="582"/>
      <c r="K44" s="580"/>
      <c r="L44" s="581" t="s">
        <v>3040</v>
      </c>
      <c r="M44" s="580"/>
      <c r="N44" s="971" t="s">
        <v>3173</v>
      </c>
      <c r="O44" s="971"/>
      <c r="P44" s="971"/>
      <c r="Q44" s="971"/>
      <c r="R44" s="971"/>
      <c r="S44" s="971"/>
      <c r="T44" s="971"/>
      <c r="U44" s="971"/>
      <c r="V44" s="579" t="s">
        <v>2868</v>
      </c>
      <c r="W44" s="970"/>
      <c r="X44" s="970"/>
      <c r="Y44" s="578" t="s">
        <v>3172</v>
      </c>
      <c r="Z44" s="578"/>
      <c r="AA44" s="578"/>
      <c r="AB44" s="578" t="s">
        <v>2831</v>
      </c>
      <c r="AC44" s="970"/>
      <c r="AD44" s="970"/>
      <c r="AE44" s="970"/>
      <c r="AF44" s="577" t="s">
        <v>2762</v>
      </c>
    </row>
    <row r="45" spans="2:34" s="583" customFormat="1" ht="12.95" customHeight="1">
      <c r="B45" s="982"/>
      <c r="C45" s="983"/>
      <c r="D45" s="983"/>
      <c r="E45" s="983"/>
      <c r="F45" s="984"/>
      <c r="G45" s="982"/>
      <c r="H45" s="983"/>
      <c r="I45" s="984"/>
      <c r="J45" s="972" t="s">
        <v>3175</v>
      </c>
      <c r="K45" s="973"/>
      <c r="L45" s="973"/>
      <c r="M45" s="973"/>
      <c r="N45" s="973"/>
      <c r="O45" s="973"/>
      <c r="P45" s="973"/>
      <c r="Q45" s="974"/>
      <c r="R45" s="974"/>
      <c r="S45" s="974"/>
      <c r="T45" s="974"/>
      <c r="U45" s="974"/>
      <c r="V45" s="975"/>
      <c r="W45" s="975"/>
      <c r="X45" s="975"/>
      <c r="Y45" s="975"/>
      <c r="Z45" s="975"/>
      <c r="AA45" s="975"/>
      <c r="AB45" s="975"/>
      <c r="AC45" s="975"/>
      <c r="AD45" s="975"/>
      <c r="AE45" s="975"/>
      <c r="AF45" s="976"/>
    </row>
    <row r="46" spans="2:34" s="583" customFormat="1" ht="12.95" customHeight="1">
      <c r="B46" s="982"/>
      <c r="C46" s="983"/>
      <c r="D46" s="983"/>
      <c r="E46" s="983"/>
      <c r="F46" s="984"/>
      <c r="G46" s="982"/>
      <c r="H46" s="983"/>
      <c r="I46" s="984"/>
      <c r="J46" s="591" t="s">
        <v>3166</v>
      </c>
      <c r="K46" s="590"/>
      <c r="L46" s="590"/>
      <c r="M46" s="590"/>
      <c r="N46" s="590"/>
      <c r="O46" s="977"/>
      <c r="P46" s="977"/>
      <c r="Q46" s="977"/>
      <c r="R46" s="977"/>
      <c r="S46" s="977"/>
      <c r="T46" s="977"/>
      <c r="U46" s="977"/>
      <c r="V46" s="977"/>
      <c r="W46" s="977"/>
      <c r="X46" s="977"/>
      <c r="Y46" s="977"/>
      <c r="Z46" s="977"/>
      <c r="AA46" s="977"/>
      <c r="AB46" s="977"/>
      <c r="AC46" s="977"/>
      <c r="AD46" s="977"/>
      <c r="AE46" s="977"/>
      <c r="AF46" s="978"/>
    </row>
    <row r="47" spans="2:34" s="583" customFormat="1" ht="12.95" customHeight="1">
      <c r="B47" s="982"/>
      <c r="C47" s="983"/>
      <c r="D47" s="983"/>
      <c r="E47" s="983"/>
      <c r="F47" s="984"/>
      <c r="G47" s="982"/>
      <c r="H47" s="983"/>
      <c r="I47" s="984"/>
      <c r="J47" s="589" t="s">
        <v>194</v>
      </c>
      <c r="K47" s="588"/>
      <c r="L47" s="990"/>
      <c r="M47" s="990"/>
      <c r="N47" s="990"/>
      <c r="O47" s="983"/>
      <c r="P47" s="983"/>
      <c r="Q47" s="983"/>
      <c r="R47" s="983"/>
      <c r="S47" s="983"/>
      <c r="T47" s="983"/>
      <c r="W47" s="585" t="s">
        <v>3167</v>
      </c>
      <c r="X47" s="991"/>
      <c r="Y47" s="991"/>
      <c r="Z47" s="583" t="s">
        <v>3168</v>
      </c>
      <c r="AF47" s="584"/>
    </row>
    <row r="48" spans="2:34" s="583" customFormat="1" ht="12.95" customHeight="1">
      <c r="B48" s="982"/>
      <c r="C48" s="983"/>
      <c r="D48" s="983"/>
      <c r="E48" s="983"/>
      <c r="F48" s="984"/>
      <c r="G48" s="982"/>
      <c r="H48" s="983"/>
      <c r="I48" s="984"/>
      <c r="J48" s="582"/>
      <c r="K48" s="580"/>
      <c r="L48" s="969"/>
      <c r="M48" s="969"/>
      <c r="N48" s="969"/>
      <c r="O48" s="969"/>
      <c r="P48" s="969"/>
      <c r="Q48" s="969"/>
      <c r="R48" s="969"/>
      <c r="S48" s="969"/>
      <c r="T48" s="969"/>
      <c r="U48" s="578"/>
      <c r="V48" s="578"/>
      <c r="W48" s="581" t="s">
        <v>2868</v>
      </c>
      <c r="X48" s="969"/>
      <c r="Y48" s="969"/>
      <c r="Z48" s="969"/>
      <c r="AA48" s="580" t="s">
        <v>3062</v>
      </c>
      <c r="AB48" s="578"/>
      <c r="AC48" s="970"/>
      <c r="AD48" s="970"/>
      <c r="AE48" s="970"/>
      <c r="AF48" s="577" t="s">
        <v>2762</v>
      </c>
    </row>
    <row r="49" spans="1:32" s="583" customFormat="1" ht="12.95" customHeight="1">
      <c r="B49" s="982"/>
      <c r="C49" s="983"/>
      <c r="D49" s="983"/>
      <c r="E49" s="983"/>
      <c r="F49" s="984"/>
      <c r="G49" s="982"/>
      <c r="H49" s="983"/>
      <c r="I49" s="984"/>
      <c r="J49" s="587" t="s">
        <v>3169</v>
      </c>
      <c r="K49" s="586"/>
      <c r="L49" s="586"/>
      <c r="M49" s="586"/>
      <c r="N49" s="988"/>
      <c r="O49" s="988"/>
      <c r="P49" s="988"/>
      <c r="Q49" s="988"/>
      <c r="R49" s="988"/>
      <c r="S49" s="988"/>
      <c r="T49" s="988"/>
      <c r="U49" s="988"/>
      <c r="W49" s="585" t="s">
        <v>3170</v>
      </c>
      <c r="X49" s="989"/>
      <c r="Y49" s="989"/>
      <c r="Z49" s="583" t="s">
        <v>3171</v>
      </c>
      <c r="AF49" s="584"/>
    </row>
    <row r="50" spans="1:32" s="583" customFormat="1" ht="12.95" customHeight="1">
      <c r="B50" s="982"/>
      <c r="C50" s="983"/>
      <c r="D50" s="983"/>
      <c r="E50" s="983"/>
      <c r="F50" s="984"/>
      <c r="G50" s="982"/>
      <c r="H50" s="983"/>
      <c r="I50" s="984"/>
      <c r="J50" s="582"/>
      <c r="K50" s="580"/>
      <c r="L50" s="581" t="s">
        <v>3040</v>
      </c>
      <c r="M50" s="580"/>
      <c r="N50" s="971" t="s">
        <v>3173</v>
      </c>
      <c r="O50" s="971"/>
      <c r="P50" s="971"/>
      <c r="Q50" s="971"/>
      <c r="R50" s="971"/>
      <c r="S50" s="971"/>
      <c r="T50" s="971"/>
      <c r="U50" s="971"/>
      <c r="V50" s="579" t="s">
        <v>2868</v>
      </c>
      <c r="W50" s="970"/>
      <c r="X50" s="970"/>
      <c r="Y50" s="578" t="s">
        <v>3172</v>
      </c>
      <c r="Z50" s="578"/>
      <c r="AA50" s="578"/>
      <c r="AB50" s="578" t="s">
        <v>2831</v>
      </c>
      <c r="AC50" s="970"/>
      <c r="AD50" s="970"/>
      <c r="AE50" s="970"/>
      <c r="AF50" s="577" t="s">
        <v>2762</v>
      </c>
    </row>
    <row r="51" spans="1:32" s="583" customFormat="1" ht="12.95" customHeight="1">
      <c r="B51" s="982"/>
      <c r="C51" s="983"/>
      <c r="D51" s="983"/>
      <c r="E51" s="983"/>
      <c r="F51" s="984"/>
      <c r="G51" s="982"/>
      <c r="H51" s="983"/>
      <c r="I51" s="984"/>
      <c r="J51" s="972" t="s">
        <v>3175</v>
      </c>
      <c r="K51" s="973"/>
      <c r="L51" s="973"/>
      <c r="M51" s="973"/>
      <c r="N51" s="973"/>
      <c r="O51" s="973"/>
      <c r="P51" s="973"/>
      <c r="Q51" s="974"/>
      <c r="R51" s="974"/>
      <c r="S51" s="974"/>
      <c r="T51" s="974"/>
      <c r="U51" s="974"/>
      <c r="V51" s="975"/>
      <c r="W51" s="975"/>
      <c r="X51" s="975"/>
      <c r="Y51" s="975"/>
      <c r="Z51" s="975"/>
      <c r="AA51" s="975"/>
      <c r="AB51" s="975"/>
      <c r="AC51" s="975"/>
      <c r="AD51" s="975"/>
      <c r="AE51" s="975"/>
      <c r="AF51" s="976"/>
    </row>
    <row r="52" spans="1:32" s="583" customFormat="1" ht="12.95" customHeight="1">
      <c r="A52" s="576"/>
      <c r="B52" s="982"/>
      <c r="C52" s="983"/>
      <c r="D52" s="983"/>
      <c r="E52" s="983"/>
      <c r="F52" s="984"/>
      <c r="G52" s="982"/>
      <c r="H52" s="983"/>
      <c r="I52" s="984"/>
      <c r="J52" s="591" t="s">
        <v>3166</v>
      </c>
      <c r="K52" s="590"/>
      <c r="L52" s="590"/>
      <c r="M52" s="590"/>
      <c r="N52" s="590"/>
      <c r="O52" s="977"/>
      <c r="P52" s="977"/>
      <c r="Q52" s="977"/>
      <c r="R52" s="977"/>
      <c r="S52" s="977"/>
      <c r="T52" s="977"/>
      <c r="U52" s="977"/>
      <c r="V52" s="977"/>
      <c r="W52" s="977"/>
      <c r="X52" s="977"/>
      <c r="Y52" s="977"/>
      <c r="Z52" s="977"/>
      <c r="AA52" s="977"/>
      <c r="AB52" s="977"/>
      <c r="AC52" s="977"/>
      <c r="AD52" s="977"/>
      <c r="AE52" s="977"/>
      <c r="AF52" s="978"/>
    </row>
    <row r="53" spans="1:32" s="583" customFormat="1" ht="12.95" customHeight="1">
      <c r="A53" s="576"/>
      <c r="B53" s="982"/>
      <c r="C53" s="983"/>
      <c r="D53" s="983"/>
      <c r="E53" s="983"/>
      <c r="F53" s="984"/>
      <c r="G53" s="982"/>
      <c r="H53" s="983"/>
      <c r="I53" s="984"/>
      <c r="J53" s="589" t="s">
        <v>194</v>
      </c>
      <c r="K53" s="588"/>
      <c r="L53" s="990"/>
      <c r="M53" s="990"/>
      <c r="N53" s="990"/>
      <c r="O53" s="983"/>
      <c r="P53" s="983"/>
      <c r="Q53" s="983"/>
      <c r="R53" s="983"/>
      <c r="S53" s="983"/>
      <c r="T53" s="983"/>
      <c r="W53" s="585" t="s">
        <v>3167</v>
      </c>
      <c r="X53" s="991"/>
      <c r="Y53" s="991"/>
      <c r="Z53" s="583" t="s">
        <v>3168</v>
      </c>
      <c r="AF53" s="584"/>
    </row>
    <row r="54" spans="1:32" s="583" customFormat="1" ht="12.95" customHeight="1">
      <c r="A54" s="576"/>
      <c r="B54" s="982"/>
      <c r="C54" s="983"/>
      <c r="D54" s="983"/>
      <c r="E54" s="983"/>
      <c r="F54" s="984"/>
      <c r="G54" s="982"/>
      <c r="H54" s="983"/>
      <c r="I54" s="984"/>
      <c r="J54" s="582"/>
      <c r="K54" s="580"/>
      <c r="L54" s="969"/>
      <c r="M54" s="969"/>
      <c r="N54" s="969"/>
      <c r="O54" s="969"/>
      <c r="P54" s="969"/>
      <c r="Q54" s="969"/>
      <c r="R54" s="969"/>
      <c r="S54" s="969"/>
      <c r="T54" s="969"/>
      <c r="U54" s="578"/>
      <c r="V54" s="578"/>
      <c r="W54" s="581" t="s">
        <v>2868</v>
      </c>
      <c r="X54" s="969"/>
      <c r="Y54" s="969"/>
      <c r="Z54" s="969"/>
      <c r="AA54" s="580" t="s">
        <v>3062</v>
      </c>
      <c r="AB54" s="578"/>
      <c r="AC54" s="970"/>
      <c r="AD54" s="970"/>
      <c r="AE54" s="970"/>
      <c r="AF54" s="577" t="s">
        <v>2762</v>
      </c>
    </row>
    <row r="55" spans="1:32" s="583" customFormat="1" ht="12.95" customHeight="1">
      <c r="A55" s="576"/>
      <c r="B55" s="982"/>
      <c r="C55" s="983"/>
      <c r="D55" s="983"/>
      <c r="E55" s="983"/>
      <c r="F55" s="984"/>
      <c r="G55" s="982"/>
      <c r="H55" s="983"/>
      <c r="I55" s="984"/>
      <c r="J55" s="587" t="s">
        <v>3169</v>
      </c>
      <c r="K55" s="586"/>
      <c r="L55" s="586"/>
      <c r="M55" s="586"/>
      <c r="N55" s="988"/>
      <c r="O55" s="988"/>
      <c r="P55" s="988"/>
      <c r="Q55" s="988"/>
      <c r="R55" s="988"/>
      <c r="S55" s="988"/>
      <c r="T55" s="988"/>
      <c r="U55" s="988"/>
      <c r="W55" s="585" t="s">
        <v>3170</v>
      </c>
      <c r="X55" s="989"/>
      <c r="Y55" s="989"/>
      <c r="Z55" s="583" t="s">
        <v>3171</v>
      </c>
      <c r="AF55" s="584"/>
    </row>
    <row r="56" spans="1:32" s="583" customFormat="1" ht="12.95" customHeight="1">
      <c r="A56" s="576"/>
      <c r="B56" s="982"/>
      <c r="C56" s="983"/>
      <c r="D56" s="983"/>
      <c r="E56" s="983"/>
      <c r="F56" s="984"/>
      <c r="G56" s="982"/>
      <c r="H56" s="983"/>
      <c r="I56" s="984"/>
      <c r="J56" s="582"/>
      <c r="K56" s="580"/>
      <c r="L56" s="581" t="s">
        <v>3040</v>
      </c>
      <c r="M56" s="580"/>
      <c r="N56" s="971" t="s">
        <v>3173</v>
      </c>
      <c r="O56" s="971"/>
      <c r="P56" s="971"/>
      <c r="Q56" s="971"/>
      <c r="R56" s="971"/>
      <c r="S56" s="971"/>
      <c r="T56" s="971"/>
      <c r="U56" s="971"/>
      <c r="V56" s="579" t="s">
        <v>2868</v>
      </c>
      <c r="W56" s="970"/>
      <c r="X56" s="970"/>
      <c r="Y56" s="578" t="s">
        <v>3172</v>
      </c>
      <c r="Z56" s="578"/>
      <c r="AA56" s="578"/>
      <c r="AB56" s="578" t="s">
        <v>2831</v>
      </c>
      <c r="AC56" s="970"/>
      <c r="AD56" s="970"/>
      <c r="AE56" s="970"/>
      <c r="AF56" s="577" t="s">
        <v>2762</v>
      </c>
    </row>
    <row r="57" spans="1:32" s="583" customFormat="1" ht="12.95" customHeight="1">
      <c r="A57" s="576"/>
      <c r="B57" s="982"/>
      <c r="C57" s="983"/>
      <c r="D57" s="983"/>
      <c r="E57" s="983"/>
      <c r="F57" s="984"/>
      <c r="G57" s="982"/>
      <c r="H57" s="983"/>
      <c r="I57" s="984"/>
      <c r="J57" s="972" t="s">
        <v>3175</v>
      </c>
      <c r="K57" s="973"/>
      <c r="L57" s="973"/>
      <c r="M57" s="973"/>
      <c r="N57" s="973"/>
      <c r="O57" s="973"/>
      <c r="P57" s="973"/>
      <c r="Q57" s="974"/>
      <c r="R57" s="974"/>
      <c r="S57" s="974"/>
      <c r="T57" s="974"/>
      <c r="U57" s="974"/>
      <c r="V57" s="975"/>
      <c r="W57" s="975"/>
      <c r="X57" s="975"/>
      <c r="Y57" s="975"/>
      <c r="Z57" s="975"/>
      <c r="AA57" s="975"/>
      <c r="AB57" s="975"/>
      <c r="AC57" s="975"/>
      <c r="AD57" s="975"/>
      <c r="AE57" s="975"/>
      <c r="AF57" s="976"/>
    </row>
    <row r="58" spans="1:32" s="583" customFormat="1" ht="12.95" customHeight="1">
      <c r="A58" s="576"/>
      <c r="B58" s="982"/>
      <c r="C58" s="983"/>
      <c r="D58" s="983"/>
      <c r="E58" s="983"/>
      <c r="F58" s="984"/>
      <c r="G58" s="982"/>
      <c r="H58" s="983"/>
      <c r="I58" s="984"/>
      <c r="J58" s="591" t="s">
        <v>3166</v>
      </c>
      <c r="K58" s="590"/>
      <c r="L58" s="590"/>
      <c r="M58" s="590"/>
      <c r="N58" s="590"/>
      <c r="O58" s="977"/>
      <c r="P58" s="977"/>
      <c r="Q58" s="977"/>
      <c r="R58" s="977"/>
      <c r="S58" s="977"/>
      <c r="T58" s="977"/>
      <c r="U58" s="977"/>
      <c r="V58" s="977"/>
      <c r="W58" s="977"/>
      <c r="X58" s="977"/>
      <c r="Y58" s="977"/>
      <c r="Z58" s="977"/>
      <c r="AA58" s="977"/>
      <c r="AB58" s="977"/>
      <c r="AC58" s="977"/>
      <c r="AD58" s="977"/>
      <c r="AE58" s="977"/>
      <c r="AF58" s="978"/>
    </row>
    <row r="59" spans="1:32" s="583" customFormat="1" ht="12.95" customHeight="1">
      <c r="A59" s="576"/>
      <c r="B59" s="982"/>
      <c r="C59" s="983"/>
      <c r="D59" s="983"/>
      <c r="E59" s="983"/>
      <c r="F59" s="984"/>
      <c r="G59" s="982"/>
      <c r="H59" s="983"/>
      <c r="I59" s="984"/>
      <c r="J59" s="589" t="s">
        <v>194</v>
      </c>
      <c r="K59" s="588"/>
      <c r="L59" s="990"/>
      <c r="M59" s="990"/>
      <c r="N59" s="990"/>
      <c r="O59" s="983"/>
      <c r="P59" s="983"/>
      <c r="Q59" s="983"/>
      <c r="R59" s="983"/>
      <c r="S59" s="983"/>
      <c r="T59" s="983"/>
      <c r="W59" s="585" t="s">
        <v>3167</v>
      </c>
      <c r="X59" s="991"/>
      <c r="Y59" s="991"/>
      <c r="Z59" s="583" t="s">
        <v>3168</v>
      </c>
      <c r="AF59" s="584"/>
    </row>
    <row r="60" spans="1:32" s="583" customFormat="1" ht="12.95" customHeight="1">
      <c r="A60" s="576"/>
      <c r="B60" s="982"/>
      <c r="C60" s="983"/>
      <c r="D60" s="983"/>
      <c r="E60" s="983"/>
      <c r="F60" s="984"/>
      <c r="G60" s="982"/>
      <c r="H60" s="983"/>
      <c r="I60" s="984"/>
      <c r="J60" s="582"/>
      <c r="K60" s="580"/>
      <c r="L60" s="969"/>
      <c r="M60" s="969"/>
      <c r="N60" s="969"/>
      <c r="O60" s="969"/>
      <c r="P60" s="969"/>
      <c r="Q60" s="969"/>
      <c r="R60" s="969"/>
      <c r="S60" s="969"/>
      <c r="T60" s="969"/>
      <c r="U60" s="578"/>
      <c r="V60" s="578"/>
      <c r="W60" s="581" t="s">
        <v>2868</v>
      </c>
      <c r="X60" s="969"/>
      <c r="Y60" s="969"/>
      <c r="Z60" s="969"/>
      <c r="AA60" s="580" t="s">
        <v>3062</v>
      </c>
      <c r="AB60" s="578"/>
      <c r="AC60" s="970"/>
      <c r="AD60" s="970"/>
      <c r="AE60" s="970"/>
      <c r="AF60" s="577" t="s">
        <v>2762</v>
      </c>
    </row>
    <row r="61" spans="1:32" s="583" customFormat="1" ht="12.95" customHeight="1">
      <c r="A61" s="576"/>
      <c r="B61" s="982"/>
      <c r="C61" s="983"/>
      <c r="D61" s="983"/>
      <c r="E61" s="983"/>
      <c r="F61" s="984"/>
      <c r="G61" s="982"/>
      <c r="H61" s="983"/>
      <c r="I61" s="984"/>
      <c r="J61" s="587" t="s">
        <v>3169</v>
      </c>
      <c r="K61" s="586"/>
      <c r="L61" s="586"/>
      <c r="M61" s="586"/>
      <c r="N61" s="988"/>
      <c r="O61" s="988"/>
      <c r="P61" s="988"/>
      <c r="Q61" s="988"/>
      <c r="R61" s="988"/>
      <c r="S61" s="988"/>
      <c r="T61" s="988"/>
      <c r="U61" s="988"/>
      <c r="W61" s="585" t="s">
        <v>3170</v>
      </c>
      <c r="X61" s="989"/>
      <c r="Y61" s="989"/>
      <c r="Z61" s="583" t="s">
        <v>3171</v>
      </c>
      <c r="AF61" s="584"/>
    </row>
    <row r="62" spans="1:32" ht="12" customHeight="1">
      <c r="B62" s="982"/>
      <c r="C62" s="983"/>
      <c r="D62" s="983"/>
      <c r="E62" s="983"/>
      <c r="F62" s="984"/>
      <c r="G62" s="982"/>
      <c r="H62" s="983"/>
      <c r="I62" s="984"/>
      <c r="J62" s="582"/>
      <c r="K62" s="580"/>
      <c r="L62" s="581" t="s">
        <v>3040</v>
      </c>
      <c r="M62" s="580"/>
      <c r="N62" s="971" t="s">
        <v>3173</v>
      </c>
      <c r="O62" s="971"/>
      <c r="P62" s="971"/>
      <c r="Q62" s="971"/>
      <c r="R62" s="971"/>
      <c r="S62" s="971"/>
      <c r="T62" s="971"/>
      <c r="U62" s="971"/>
      <c r="V62" s="579" t="s">
        <v>2868</v>
      </c>
      <c r="W62" s="970"/>
      <c r="X62" s="970"/>
      <c r="Y62" s="578" t="s">
        <v>3172</v>
      </c>
      <c r="Z62" s="578"/>
      <c r="AA62" s="578"/>
      <c r="AB62" s="578" t="s">
        <v>2831</v>
      </c>
      <c r="AC62" s="970"/>
      <c r="AD62" s="970"/>
      <c r="AE62" s="970"/>
      <c r="AF62" s="577" t="s">
        <v>2762</v>
      </c>
    </row>
    <row r="63" spans="1:32" ht="12" customHeight="1">
      <c r="B63" s="985"/>
      <c r="C63" s="986"/>
      <c r="D63" s="986"/>
      <c r="E63" s="986"/>
      <c r="F63" s="987"/>
      <c r="G63" s="985"/>
      <c r="H63" s="986"/>
      <c r="I63" s="987"/>
      <c r="J63" s="972" t="s">
        <v>3175</v>
      </c>
      <c r="K63" s="973"/>
      <c r="L63" s="973"/>
      <c r="M63" s="973"/>
      <c r="N63" s="973"/>
      <c r="O63" s="973"/>
      <c r="P63" s="973"/>
      <c r="Q63" s="974"/>
      <c r="R63" s="974"/>
      <c r="S63" s="974"/>
      <c r="T63" s="974"/>
      <c r="U63" s="974"/>
      <c r="V63" s="975"/>
      <c r="W63" s="975"/>
      <c r="X63" s="975"/>
      <c r="Y63" s="975"/>
      <c r="Z63" s="975"/>
      <c r="AA63" s="975"/>
      <c r="AB63" s="975"/>
      <c r="AC63" s="975"/>
      <c r="AD63" s="975"/>
      <c r="AE63" s="975"/>
      <c r="AF63" s="976"/>
    </row>
  </sheetData>
  <mergeCells count="136">
    <mergeCell ref="L12:T12"/>
    <mergeCell ref="X12:Z12"/>
    <mergeCell ref="N13:U13"/>
    <mergeCell ref="X13:Y13"/>
    <mergeCell ref="N14:U14"/>
    <mergeCell ref="O16:AF16"/>
    <mergeCell ref="L17:T17"/>
    <mergeCell ref="X17:Y17"/>
    <mergeCell ref="AC12:AE12"/>
    <mergeCell ref="B2:AD2"/>
    <mergeCell ref="O4:AF4"/>
    <mergeCell ref="L5:T5"/>
    <mergeCell ref="X5:Y5"/>
    <mergeCell ref="L6:T6"/>
    <mergeCell ref="X6:Z6"/>
    <mergeCell ref="AC6:AE6"/>
    <mergeCell ref="O10:AF10"/>
    <mergeCell ref="L11:T11"/>
    <mergeCell ref="X11:Y11"/>
    <mergeCell ref="AC8:AE8"/>
    <mergeCell ref="J9:P9"/>
    <mergeCell ref="Q9:AF9"/>
    <mergeCell ref="X7:Y7"/>
    <mergeCell ref="N8:U8"/>
    <mergeCell ref="W8:X8"/>
    <mergeCell ref="N7:U7"/>
    <mergeCell ref="J21:P21"/>
    <mergeCell ref="Q21:AF21"/>
    <mergeCell ref="W14:X14"/>
    <mergeCell ref="AC14:AE14"/>
    <mergeCell ref="J15:P15"/>
    <mergeCell ref="Q15:AF15"/>
    <mergeCell ref="X18:Z18"/>
    <mergeCell ref="AC18:AE18"/>
    <mergeCell ref="N19:U19"/>
    <mergeCell ref="X19:Y19"/>
    <mergeCell ref="N20:U20"/>
    <mergeCell ref="W20:X20"/>
    <mergeCell ref="AC20:AE20"/>
    <mergeCell ref="L18:T18"/>
    <mergeCell ref="X25:Y25"/>
    <mergeCell ref="N26:U26"/>
    <mergeCell ref="W26:X26"/>
    <mergeCell ref="AC26:AE26"/>
    <mergeCell ref="O22:AF22"/>
    <mergeCell ref="J27:P27"/>
    <mergeCell ref="Q27:AF27"/>
    <mergeCell ref="N25:U25"/>
    <mergeCell ref="O28:AF28"/>
    <mergeCell ref="L23:T23"/>
    <mergeCell ref="X23:Y23"/>
    <mergeCell ref="L24:T24"/>
    <mergeCell ref="X24:Z24"/>
    <mergeCell ref="AC24:AE24"/>
    <mergeCell ref="L42:T42"/>
    <mergeCell ref="X42:Z42"/>
    <mergeCell ref="AC42:AE42"/>
    <mergeCell ref="AH28:AH32"/>
    <mergeCell ref="L29:T29"/>
    <mergeCell ref="X29:Y29"/>
    <mergeCell ref="L30:T30"/>
    <mergeCell ref="X30:Z30"/>
    <mergeCell ref="AC30:AE30"/>
    <mergeCell ref="N31:U31"/>
    <mergeCell ref="X31:Y31"/>
    <mergeCell ref="N32:U32"/>
    <mergeCell ref="W32:X32"/>
    <mergeCell ref="AC32:AE32"/>
    <mergeCell ref="AH33:AH37"/>
    <mergeCell ref="O34:AF34"/>
    <mergeCell ref="L35:T35"/>
    <mergeCell ref="X35:Y35"/>
    <mergeCell ref="L36:T36"/>
    <mergeCell ref="X36:Z36"/>
    <mergeCell ref="AC36:AE36"/>
    <mergeCell ref="N37:U37"/>
    <mergeCell ref="J33:P33"/>
    <mergeCell ref="Q33:AF33"/>
    <mergeCell ref="L41:T41"/>
    <mergeCell ref="X41:Y41"/>
    <mergeCell ref="J39:P39"/>
    <mergeCell ref="Q39:AF39"/>
    <mergeCell ref="O40:AF40"/>
    <mergeCell ref="N38:U38"/>
    <mergeCell ref="W38:X38"/>
    <mergeCell ref="AC38:AE38"/>
    <mergeCell ref="X37:Y37"/>
    <mergeCell ref="AC48:AE48"/>
    <mergeCell ref="X49:Y49"/>
    <mergeCell ref="N50:U50"/>
    <mergeCell ref="J51:P51"/>
    <mergeCell ref="Q51:AF51"/>
    <mergeCell ref="N49:U49"/>
    <mergeCell ref="W50:X50"/>
    <mergeCell ref="N43:U43"/>
    <mergeCell ref="X43:Y43"/>
    <mergeCell ref="N44:U44"/>
    <mergeCell ref="W44:X44"/>
    <mergeCell ref="AC44:AE44"/>
    <mergeCell ref="J45:P45"/>
    <mergeCell ref="Q45:AF45"/>
    <mergeCell ref="AC50:AE50"/>
    <mergeCell ref="J63:P63"/>
    <mergeCell ref="Q63:AF63"/>
    <mergeCell ref="B4:F63"/>
    <mergeCell ref="G4:I33"/>
    <mergeCell ref="G34:I63"/>
    <mergeCell ref="X60:Z60"/>
    <mergeCell ref="AC60:AE60"/>
    <mergeCell ref="N61:U61"/>
    <mergeCell ref="X61:Y61"/>
    <mergeCell ref="N62:U62"/>
    <mergeCell ref="L60:T60"/>
    <mergeCell ref="O52:AF52"/>
    <mergeCell ref="L53:T53"/>
    <mergeCell ref="X53:Y53"/>
    <mergeCell ref="L59:T59"/>
    <mergeCell ref="X59:Y59"/>
    <mergeCell ref="N55:U55"/>
    <mergeCell ref="X55:Y55"/>
    <mergeCell ref="O46:AF46"/>
    <mergeCell ref="L47:T47"/>
    <mergeCell ref="X47:Y47"/>
    <mergeCell ref="L48:T48"/>
    <mergeCell ref="L54:T54"/>
    <mergeCell ref="X48:Z48"/>
    <mergeCell ref="X54:Z54"/>
    <mergeCell ref="AC54:AE54"/>
    <mergeCell ref="W62:X62"/>
    <mergeCell ref="AC62:AE62"/>
    <mergeCell ref="N56:U56"/>
    <mergeCell ref="W56:X56"/>
    <mergeCell ref="AC56:AE56"/>
    <mergeCell ref="J57:P57"/>
    <mergeCell ref="Q57:AF57"/>
    <mergeCell ref="O58:AF58"/>
  </mergeCells>
  <phoneticPr fontId="7"/>
  <pageMargins left="0.78740157480314965" right="0.39370078740157483" top="0.59055118110236227" bottom="0.59055118110236227" header="0.51181102362204722" footer="0.51181102362204722"/>
  <pageSetup paperSize="9" orientation="portrait" blackAndWhite="1" r:id="rId1"/>
  <headerFooter>
    <oddHeader>&amp;L&amp;9様式－ＩＰＥＣ－０８</oddHeader>
    <oddFooter xml:space="preserve">&amp;L&amp;6IPEC-08 建築主等変更届.xls&amp;R&amp;6ver1.2
</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1A632-8652-4682-BD36-F19B8CEFF1C6}">
  <dimension ref="A1:AQ67"/>
  <sheetViews>
    <sheetView view="pageBreakPreview" zoomScaleNormal="100" zoomScaleSheetLayoutView="100" workbookViewId="0"/>
  </sheetViews>
  <sheetFormatPr defaultColWidth="2.625" defaultRowHeight="20.100000000000001" customHeight="1"/>
  <cols>
    <col min="1" max="10" width="2.625" style="617" customWidth="1"/>
    <col min="11" max="11" width="3.25" style="617" bestFit="1" customWidth="1"/>
    <col min="12" max="12" width="2.625" style="617" customWidth="1"/>
    <col min="13" max="16384" width="2.625" style="617"/>
  </cols>
  <sheetData>
    <row r="1" spans="1:33" ht="12.75">
      <c r="A1" s="654" t="s">
        <v>3185</v>
      </c>
      <c r="B1" s="654"/>
      <c r="C1" s="654"/>
    </row>
    <row r="2" spans="1:33" ht="14.25">
      <c r="A2" s="1061" t="s">
        <v>3186</v>
      </c>
      <c r="B2" s="1061"/>
      <c r="C2" s="1061"/>
      <c r="D2" s="1061"/>
      <c r="E2" s="1061"/>
      <c r="F2" s="1061"/>
      <c r="G2" s="1061"/>
      <c r="H2" s="1061"/>
      <c r="I2" s="1061"/>
      <c r="J2" s="1061"/>
      <c r="K2" s="1061"/>
      <c r="L2" s="1061"/>
      <c r="M2" s="1061"/>
      <c r="N2" s="1061"/>
      <c r="O2" s="1061"/>
      <c r="P2" s="1061"/>
      <c r="Q2" s="1061"/>
      <c r="R2" s="1061"/>
      <c r="S2" s="1061"/>
      <c r="T2" s="1061"/>
      <c r="U2" s="1061"/>
      <c r="V2" s="1061"/>
      <c r="W2" s="1061"/>
      <c r="X2" s="1061"/>
      <c r="Y2" s="1061"/>
      <c r="Z2" s="1061"/>
      <c r="AA2" s="1061"/>
      <c r="AB2" s="1061"/>
      <c r="AC2" s="1061"/>
      <c r="AD2" s="1061"/>
      <c r="AE2" s="1061"/>
      <c r="AF2" s="1061"/>
      <c r="AG2" s="657" t="s">
        <v>3187</v>
      </c>
    </row>
    <row r="3" spans="1:33" ht="12.75">
      <c r="AG3" s="657" t="s">
        <v>3188</v>
      </c>
    </row>
    <row r="4" spans="1:33" ht="12.75">
      <c r="B4" s="654" t="s">
        <v>3189</v>
      </c>
      <c r="C4" s="654"/>
      <c r="E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row>
    <row r="7" spans="1:33" ht="17.25">
      <c r="B7" s="656" t="s">
        <v>3109</v>
      </c>
      <c r="C7" s="656"/>
      <c r="E7" s="655"/>
      <c r="F7" s="655"/>
      <c r="G7" s="655"/>
      <c r="H7" s="655"/>
      <c r="I7" s="655"/>
      <c r="M7" s="617" t="s">
        <v>3110</v>
      </c>
    </row>
    <row r="8" spans="1:33" ht="12.75">
      <c r="U8" s="668" t="str">
        <f ca="1">TEXT(TODAY(),"ggg")</f>
        <v>令和</v>
      </c>
      <c r="V8" s="668"/>
      <c r="W8" s="1062"/>
      <c r="X8" s="1062"/>
      <c r="Y8" s="668" t="s">
        <v>2822</v>
      </c>
      <c r="Z8" s="1062"/>
      <c r="AA8" s="1062"/>
      <c r="AB8" s="668" t="s">
        <v>2823</v>
      </c>
      <c r="AC8" s="1062"/>
      <c r="AD8" s="1062"/>
      <c r="AE8" s="668" t="s">
        <v>2824</v>
      </c>
    </row>
    <row r="10" spans="1:33" ht="12.75">
      <c r="N10" s="1057" t="s">
        <v>3111</v>
      </c>
      <c r="O10" s="1057"/>
      <c r="P10" s="1057"/>
      <c r="Q10" s="1057"/>
      <c r="R10" s="1057"/>
      <c r="S10" s="1057"/>
      <c r="T10" s="1057"/>
      <c r="U10" s="1057"/>
      <c r="V10" s="1057"/>
      <c r="W10" s="1057"/>
      <c r="X10" s="1057"/>
      <c r="Y10" s="1057"/>
      <c r="Z10" s="1057"/>
      <c r="AA10" s="1057"/>
      <c r="AB10" s="1057"/>
      <c r="AC10" s="1057"/>
      <c r="AD10" s="1057"/>
      <c r="AE10" s="1057"/>
    </row>
    <row r="11" spans="1:33" ht="12.75">
      <c r="N11" s="1056" t="str">
        <f>cst_wskakunin_owner1_NAME</f>
        <v>猫山　花子</v>
      </c>
      <c r="O11" s="1056"/>
      <c r="P11" s="1056"/>
      <c r="Q11" s="1056"/>
      <c r="R11" s="1056"/>
      <c r="S11" s="1056"/>
      <c r="T11" s="1056"/>
      <c r="U11" s="1056"/>
      <c r="V11" s="1056"/>
      <c r="W11" s="1056"/>
      <c r="X11" s="1056"/>
      <c r="Y11" s="1056"/>
      <c r="Z11" s="1056"/>
      <c r="AA11" s="1056"/>
      <c r="AB11" s="1056"/>
      <c r="AC11" s="1056"/>
      <c r="AD11" s="1056"/>
      <c r="AE11" s="1056"/>
    </row>
    <row r="12" spans="1:33" ht="12.75">
      <c r="N12" s="1056"/>
      <c r="O12" s="1056"/>
      <c r="P12" s="1056"/>
      <c r="Q12" s="1056"/>
      <c r="R12" s="1056"/>
      <c r="S12" s="1056"/>
      <c r="T12" s="1056"/>
      <c r="U12" s="1056"/>
      <c r="V12" s="1056"/>
      <c r="W12" s="1056"/>
      <c r="X12" s="1056"/>
      <c r="Y12" s="1056"/>
      <c r="Z12" s="1056"/>
      <c r="AA12" s="1056"/>
      <c r="AB12" s="1056"/>
      <c r="AC12" s="1056"/>
      <c r="AD12" s="1056"/>
      <c r="AE12" s="1056"/>
      <c r="AF12" s="654"/>
    </row>
    <row r="13" spans="1:33" ht="12.75">
      <c r="N13" s="1057" t="s">
        <v>3112</v>
      </c>
      <c r="O13" s="1057"/>
      <c r="P13" s="1057"/>
      <c r="Q13" s="1057"/>
      <c r="R13" s="1057"/>
      <c r="S13" s="1057"/>
      <c r="T13" s="1057"/>
      <c r="U13" s="1057"/>
      <c r="V13" s="1057"/>
      <c r="W13" s="1057"/>
      <c r="X13" s="1057"/>
      <c r="Y13" s="1057"/>
      <c r="Z13" s="1057"/>
      <c r="AA13" s="1057"/>
      <c r="AB13" s="1057"/>
      <c r="AC13" s="1057"/>
      <c r="AD13" s="1057"/>
      <c r="AE13" s="1057"/>
      <c r="AF13" s="654"/>
    </row>
    <row r="14" spans="1:33" ht="12.75">
      <c r="N14" s="1059" t="str">
        <f>cst_wskakunin_owner1__address</f>
        <v>大阪府茨木市山手台2-2-2</v>
      </c>
      <c r="O14" s="1059"/>
      <c r="P14" s="1059"/>
      <c r="Q14" s="1059"/>
      <c r="R14" s="1059"/>
      <c r="S14" s="1059"/>
      <c r="T14" s="1059"/>
      <c r="U14" s="1059"/>
      <c r="V14" s="1059"/>
      <c r="W14" s="1059"/>
      <c r="X14" s="1059"/>
      <c r="Y14" s="1059"/>
      <c r="Z14" s="1059"/>
      <c r="AA14" s="1059"/>
      <c r="AB14" s="1059"/>
      <c r="AC14" s="1059"/>
      <c r="AD14" s="1059"/>
      <c r="AE14" s="1059"/>
    </row>
    <row r="15" spans="1:33" ht="12.75">
      <c r="A15" s="653"/>
      <c r="B15" s="653"/>
      <c r="C15" s="653"/>
      <c r="D15" s="653"/>
      <c r="E15" s="653"/>
      <c r="F15" s="652"/>
      <c r="G15" s="652"/>
      <c r="H15" s="652"/>
      <c r="I15" s="652"/>
      <c r="J15" s="652"/>
      <c r="K15" s="652"/>
      <c r="L15" s="652"/>
      <c r="M15" s="652"/>
      <c r="N15" s="1060"/>
      <c r="O15" s="1060"/>
      <c r="P15" s="1060"/>
      <c r="Q15" s="1060"/>
      <c r="R15" s="1060"/>
      <c r="S15" s="1060"/>
      <c r="T15" s="1060"/>
      <c r="U15" s="1060"/>
      <c r="V15" s="1060"/>
      <c r="W15" s="1060"/>
      <c r="X15" s="1060"/>
      <c r="Y15" s="1060"/>
      <c r="Z15" s="1060"/>
      <c r="AA15" s="1060"/>
      <c r="AB15" s="1060"/>
      <c r="AC15" s="1060"/>
      <c r="AD15" s="1060"/>
      <c r="AE15" s="1060"/>
      <c r="AF15" s="652"/>
    </row>
    <row r="16" spans="1:33" ht="15" customHeight="1">
      <c r="F16" s="619"/>
      <c r="G16" s="619"/>
      <c r="H16" s="619"/>
      <c r="I16" s="619"/>
      <c r="J16" s="619"/>
      <c r="K16" s="619"/>
      <c r="L16" s="619"/>
      <c r="M16" s="619"/>
      <c r="N16" s="651"/>
      <c r="O16" s="651"/>
      <c r="P16" s="651"/>
      <c r="Q16" s="651"/>
      <c r="R16" s="651"/>
      <c r="S16" s="651"/>
      <c r="T16" s="651"/>
      <c r="U16" s="651"/>
      <c r="V16" s="651"/>
      <c r="W16" s="651"/>
      <c r="X16" s="651"/>
      <c r="Y16" s="651"/>
      <c r="Z16" s="651"/>
      <c r="AA16" s="651"/>
      <c r="AB16" s="651"/>
      <c r="AC16" s="651"/>
      <c r="AD16" s="651"/>
      <c r="AE16" s="651"/>
      <c r="AF16" s="619"/>
    </row>
    <row r="17" spans="1:43" ht="12.75">
      <c r="A17" s="1058" t="s">
        <v>3154</v>
      </c>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row>
    <row r="18" spans="1:43" ht="15" customHeight="1">
      <c r="A18" s="647"/>
      <c r="B18" s="647"/>
      <c r="C18" s="647"/>
      <c r="D18" s="647"/>
      <c r="E18" s="647"/>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row>
    <row r="19" spans="1:43" ht="12.75">
      <c r="A19" s="648"/>
      <c r="B19" s="648" t="s">
        <v>3155</v>
      </c>
      <c r="C19" s="648"/>
    </row>
    <row r="20" spans="1:43" ht="12.75">
      <c r="A20" s="648"/>
      <c r="B20" s="648"/>
      <c r="C20" s="648"/>
      <c r="D20" s="1056" t="str">
        <f>cst_wskakunin_BUILD__address</f>
        <v>大阪府茨木市山手台2-2-2</v>
      </c>
      <c r="E20" s="1056"/>
      <c r="F20" s="1056"/>
      <c r="G20" s="1056"/>
      <c r="H20" s="1056"/>
      <c r="I20" s="1056"/>
      <c r="J20" s="1056"/>
      <c r="K20" s="1056"/>
      <c r="L20" s="1056"/>
      <c r="M20" s="1056"/>
      <c r="N20" s="1056"/>
      <c r="O20" s="1056"/>
      <c r="P20" s="1056"/>
      <c r="Q20" s="1056"/>
      <c r="R20" s="1056"/>
      <c r="S20" s="1056"/>
      <c r="T20" s="1056"/>
      <c r="U20" s="1056"/>
      <c r="V20" s="1056"/>
      <c r="W20" s="1056"/>
      <c r="X20" s="1056"/>
      <c r="Y20" s="1056"/>
      <c r="Z20" s="1056"/>
      <c r="AA20" s="1056"/>
      <c r="AB20" s="1056"/>
      <c r="AC20" s="1056"/>
      <c r="AD20" s="1056"/>
      <c r="AE20" s="1056"/>
    </row>
    <row r="21" spans="1:43" ht="13.5">
      <c r="A21" s="648"/>
      <c r="B21" s="648" t="s">
        <v>3156</v>
      </c>
      <c r="C21" s="648"/>
      <c r="D21" s="650"/>
      <c r="E21" s="650"/>
      <c r="F21" s="650"/>
      <c r="G21" s="650"/>
      <c r="H21" s="650"/>
      <c r="I21" s="650"/>
      <c r="L21" s="677" t="str">
        <f ca="1">TEXT(TODAY(),"ggg")</f>
        <v>令和</v>
      </c>
      <c r="M21" s="677"/>
      <c r="N21" s="1049">
        <f ca="1">cst_shinsei_KAKUNIN_KOUFU_DATE</f>
        <v>45363</v>
      </c>
      <c r="O21" s="1049"/>
      <c r="P21" s="677" t="s">
        <v>2822</v>
      </c>
      <c r="Q21" s="1050">
        <f ca="1">cst_shinsei_KAKUNIN_KOUFU_DATE</f>
        <v>45363</v>
      </c>
      <c r="R21" s="1050"/>
      <c r="S21" s="677" t="s">
        <v>2823</v>
      </c>
      <c r="T21" s="1051">
        <f ca="1">cst_shinsei_KAKUNIN_KOUFU_DATE</f>
        <v>45363</v>
      </c>
      <c r="U21" s="1051"/>
      <c r="V21" s="677" t="s">
        <v>2824</v>
      </c>
      <c r="AQ21" s="617" t="s">
        <v>3190</v>
      </c>
    </row>
    <row r="22" spans="1:43" ht="12.75">
      <c r="A22" s="648"/>
      <c r="B22" s="648" t="s">
        <v>3157</v>
      </c>
      <c r="C22" s="648"/>
      <c r="D22" s="650"/>
      <c r="E22" s="650"/>
      <c r="F22" s="650"/>
      <c r="G22" s="650"/>
      <c r="H22" s="650"/>
      <c r="I22" s="1052" t="s">
        <v>3118</v>
      </c>
      <c r="J22" s="1052"/>
      <c r="K22" s="1053" t="str">
        <f ca="1">MID(cst_shinsei_KAKUNIN_ISSUE_NO,2,2)</f>
        <v>05</v>
      </c>
      <c r="L22" s="1053"/>
      <c r="M22" s="1054" t="str">
        <f ca="1">MID(cst_shinsei_KAKUNIN_ISSUE_NO,4,2)</f>
        <v>確認</v>
      </c>
      <c r="N22" s="1054"/>
      <c r="O22" s="1054" t="str">
        <f ca="1">MID(cst_shinsei_KAKUNIN_ISSUE_NO,6,6)</f>
        <v>建築IPEC</v>
      </c>
      <c r="P22" s="1054"/>
      <c r="Q22" s="1054"/>
      <c r="R22" s="1054"/>
      <c r="S22" s="1055" t="str">
        <f ca="1">RIGHT(cst_shinsei_KAKUNIN_ISSUE_NO,5)</f>
        <v>70003</v>
      </c>
      <c r="T22" s="1055"/>
      <c r="U22" s="1055"/>
      <c r="V22" s="676" t="s">
        <v>2762</v>
      </c>
      <c r="W22" s="649"/>
      <c r="X22" s="649"/>
      <c r="AI22" s="617" t="s">
        <v>3078</v>
      </c>
      <c r="AQ22" s="617" t="s">
        <v>2535</v>
      </c>
    </row>
    <row r="23" spans="1:43" ht="12.75">
      <c r="A23" s="648"/>
      <c r="B23" s="648"/>
      <c r="C23" s="648"/>
      <c r="K23" s="647"/>
      <c r="L23" s="647"/>
      <c r="M23" s="647"/>
      <c r="N23" s="647"/>
      <c r="O23" s="647"/>
      <c r="P23" s="647"/>
      <c r="Q23" s="647"/>
      <c r="AI23" s="617" t="s">
        <v>3079</v>
      </c>
      <c r="AQ23" s="617" t="s">
        <v>2539</v>
      </c>
    </row>
    <row r="24" spans="1:43" ht="12.75">
      <c r="A24" s="1014" t="s">
        <v>2828</v>
      </c>
      <c r="B24" s="1015"/>
      <c r="C24" s="1015"/>
      <c r="D24" s="1016"/>
      <c r="E24" s="1006" t="s">
        <v>3191</v>
      </c>
      <c r="F24" s="1007"/>
      <c r="G24" s="1007"/>
      <c r="H24" s="636" t="s">
        <v>3054</v>
      </c>
      <c r="I24" s="1009"/>
      <c r="J24" s="1009"/>
      <c r="K24" s="646" t="s">
        <v>3192</v>
      </c>
      <c r="L24" s="1009"/>
      <c r="M24" s="1009"/>
      <c r="N24" s="636"/>
      <c r="O24" s="636"/>
      <c r="P24" s="636"/>
      <c r="Q24" s="636"/>
      <c r="R24" s="636"/>
      <c r="S24" s="636"/>
      <c r="T24" s="636"/>
      <c r="U24" s="636"/>
      <c r="V24" s="636"/>
      <c r="W24" s="636"/>
      <c r="X24" s="636"/>
      <c r="Y24" s="636"/>
      <c r="Z24" s="636"/>
      <c r="AA24" s="636"/>
      <c r="AB24" s="636"/>
      <c r="AC24" s="636"/>
      <c r="AD24" s="636"/>
      <c r="AE24" s="636"/>
      <c r="AF24" s="645"/>
      <c r="AI24" s="617" t="s">
        <v>3081</v>
      </c>
      <c r="AQ24" s="617" t="s">
        <v>2543</v>
      </c>
    </row>
    <row r="25" spans="1:43" ht="12.75">
      <c r="A25" s="1017"/>
      <c r="B25" s="1018"/>
      <c r="C25" s="1018"/>
      <c r="D25" s="1019"/>
      <c r="E25" s="642"/>
      <c r="F25" s="640"/>
      <c r="G25" s="640"/>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639"/>
      <c r="AI25" s="617" t="s">
        <v>3082</v>
      </c>
      <c r="AQ25" s="617" t="s">
        <v>2547</v>
      </c>
    </row>
    <row r="26" spans="1:43" ht="12.75">
      <c r="A26" s="1017"/>
      <c r="B26" s="1018"/>
      <c r="C26" s="1018"/>
      <c r="D26" s="1019"/>
      <c r="E26" s="1030" t="s">
        <v>3193</v>
      </c>
      <c r="F26" s="1031"/>
      <c r="G26" s="1031"/>
      <c r="H26" s="1031"/>
      <c r="I26" s="1031"/>
      <c r="J26" s="1031"/>
      <c r="K26" s="1031"/>
      <c r="L26" s="1031"/>
      <c r="M26" s="1031"/>
      <c r="N26" s="1031"/>
      <c r="O26" s="1031"/>
      <c r="P26" s="1031"/>
      <c r="Q26" s="1031"/>
      <c r="R26" s="1032"/>
      <c r="S26" s="1033" t="s">
        <v>396</v>
      </c>
      <c r="T26" s="1033"/>
      <c r="U26" s="1033"/>
      <c r="V26" s="1033"/>
      <c r="W26" s="1033"/>
      <c r="X26" s="1033"/>
      <c r="Y26" s="1033"/>
      <c r="Z26" s="1033"/>
      <c r="AA26" s="1033"/>
      <c r="AB26" s="1033"/>
      <c r="AC26" s="1033"/>
      <c r="AD26" s="1033"/>
      <c r="AE26" s="1033"/>
      <c r="AF26" s="1034"/>
      <c r="AI26" s="617" t="s">
        <v>3083</v>
      </c>
      <c r="AQ26" s="617" t="s">
        <v>2551</v>
      </c>
    </row>
    <row r="27" spans="1:43" ht="12.75">
      <c r="A27" s="1017"/>
      <c r="B27" s="1018"/>
      <c r="C27" s="1018"/>
      <c r="D27" s="1019"/>
      <c r="E27" s="1038"/>
      <c r="F27" s="1025"/>
      <c r="G27" s="1025"/>
      <c r="H27" s="1025"/>
      <c r="I27" s="1025"/>
      <c r="J27" s="1025"/>
      <c r="K27" s="1025"/>
      <c r="L27" s="1025"/>
      <c r="M27" s="1025"/>
      <c r="N27" s="1025"/>
      <c r="O27" s="1025"/>
      <c r="P27" s="1025"/>
      <c r="Q27" s="1025"/>
      <c r="R27" s="1039"/>
      <c r="S27" s="644" t="s">
        <v>2868</v>
      </c>
      <c r="T27" s="670"/>
      <c r="U27" s="640" t="s">
        <v>3194</v>
      </c>
      <c r="V27" s="640"/>
      <c r="W27" s="640"/>
      <c r="X27" s="640"/>
      <c r="Y27" s="640"/>
      <c r="Z27" s="640"/>
      <c r="AA27" s="640"/>
      <c r="AB27" s="1025"/>
      <c r="AC27" s="1025"/>
      <c r="AD27" s="1025"/>
      <c r="AE27" s="1025"/>
      <c r="AF27" s="639" t="s">
        <v>2762</v>
      </c>
      <c r="AI27" s="617" t="s">
        <v>3086</v>
      </c>
      <c r="AQ27" s="617" t="s">
        <v>2555</v>
      </c>
    </row>
    <row r="28" spans="1:43" ht="12.75">
      <c r="A28" s="1017"/>
      <c r="B28" s="1018"/>
      <c r="C28" s="1018"/>
      <c r="D28" s="1019"/>
      <c r="E28" s="1040" t="s">
        <v>3169</v>
      </c>
      <c r="F28" s="1041"/>
      <c r="G28" s="1041"/>
      <c r="H28" s="1041"/>
      <c r="I28" s="1041"/>
      <c r="J28" s="1041"/>
      <c r="K28" s="1041"/>
      <c r="L28" s="1041"/>
      <c r="M28" s="1041"/>
      <c r="N28" s="1041"/>
      <c r="O28" s="1041"/>
      <c r="P28" s="1041"/>
      <c r="Q28" s="1041"/>
      <c r="R28" s="1042"/>
      <c r="S28" s="1043" t="s">
        <v>3195</v>
      </c>
      <c r="T28" s="1033"/>
      <c r="U28" s="1033"/>
      <c r="V28" s="1033"/>
      <c r="W28" s="1033"/>
      <c r="X28" s="1033"/>
      <c r="Y28" s="1033"/>
      <c r="Z28" s="1033"/>
      <c r="AA28" s="1033"/>
      <c r="AB28" s="1033"/>
      <c r="AC28" s="1033"/>
      <c r="AD28" s="1033"/>
      <c r="AE28" s="1033"/>
      <c r="AF28" s="1034"/>
      <c r="AQ28" s="617" t="s">
        <v>2559</v>
      </c>
    </row>
    <row r="29" spans="1:43" ht="12.75">
      <c r="A29" s="1017"/>
      <c r="B29" s="1018"/>
      <c r="C29" s="1018"/>
      <c r="D29" s="1019"/>
      <c r="E29" s="1027"/>
      <c r="F29" s="1028"/>
      <c r="G29" s="1028"/>
      <c r="H29" s="1028"/>
      <c r="I29" s="1028"/>
      <c r="J29" s="1028"/>
      <c r="K29" s="1028"/>
      <c r="L29" s="1028"/>
      <c r="M29" s="1028"/>
      <c r="N29" s="1028"/>
      <c r="O29" s="1028"/>
      <c r="P29" s="1028"/>
      <c r="Q29" s="1028"/>
      <c r="R29" s="1029"/>
      <c r="S29" s="643" t="s">
        <v>2868</v>
      </c>
      <c r="T29" s="669"/>
      <c r="U29" s="618" t="s">
        <v>3171</v>
      </c>
      <c r="V29" s="618"/>
      <c r="W29" s="618"/>
      <c r="X29" s="618"/>
      <c r="Y29" s="618"/>
      <c r="Z29" s="618"/>
      <c r="AA29" s="618"/>
      <c r="AB29" s="618"/>
      <c r="AC29" s="618"/>
      <c r="AD29" s="618"/>
      <c r="AE29" s="618"/>
      <c r="AF29" s="624"/>
      <c r="AQ29" s="617" t="s">
        <v>2510</v>
      </c>
    </row>
    <row r="30" spans="1:43" ht="12.75">
      <c r="A30" s="1017"/>
      <c r="B30" s="1018"/>
      <c r="C30" s="1018"/>
      <c r="D30" s="1019"/>
      <c r="E30" s="642" t="s">
        <v>3040</v>
      </c>
      <c r="F30" s="640"/>
      <c r="G30" s="1008" t="s">
        <v>3196</v>
      </c>
      <c r="H30" s="1008"/>
      <c r="I30" s="1008"/>
      <c r="J30" s="1008"/>
      <c r="K30" s="1008"/>
      <c r="L30" s="1008"/>
      <c r="M30" s="1008"/>
      <c r="N30" s="1008"/>
      <c r="O30" s="1008"/>
      <c r="P30" s="1008"/>
      <c r="Q30" s="1008"/>
      <c r="R30" s="1010"/>
      <c r="S30" s="641" t="s">
        <v>2868</v>
      </c>
      <c r="T30" s="1025"/>
      <c r="U30" s="1025"/>
      <c r="V30" s="1025"/>
      <c r="W30" s="640" t="s">
        <v>3197</v>
      </c>
      <c r="X30" s="640"/>
      <c r="Y30" s="640"/>
      <c r="Z30" s="640"/>
      <c r="AA30" s="640"/>
      <c r="AB30" s="1025"/>
      <c r="AC30" s="1025"/>
      <c r="AD30" s="1025"/>
      <c r="AE30" s="1025"/>
      <c r="AF30" s="639" t="s">
        <v>2762</v>
      </c>
      <c r="AQ30" s="617" t="s">
        <v>2521</v>
      </c>
    </row>
    <row r="31" spans="1:43" ht="12.75">
      <c r="A31" s="1020"/>
      <c r="B31" s="1021"/>
      <c r="C31" s="1021"/>
      <c r="D31" s="1022"/>
      <c r="E31" s="632" t="s">
        <v>3198</v>
      </c>
      <c r="F31" s="618"/>
      <c r="G31" s="638"/>
      <c r="H31" s="638"/>
      <c r="I31" s="638"/>
      <c r="J31" s="638"/>
      <c r="K31" s="638"/>
      <c r="L31" s="1023"/>
      <c r="M31" s="1023"/>
      <c r="N31" s="1023"/>
      <c r="O31" s="1023"/>
      <c r="P31" s="1023"/>
      <c r="Q31" s="1023"/>
      <c r="R31" s="1023"/>
      <c r="S31" s="1023"/>
      <c r="T31" s="1023"/>
      <c r="U31" s="1023"/>
      <c r="V31" s="1023"/>
      <c r="W31" s="1023"/>
      <c r="X31" s="1023"/>
      <c r="Y31" s="1023"/>
      <c r="Z31" s="1023"/>
      <c r="AA31" s="1023"/>
      <c r="AB31" s="1023"/>
      <c r="AC31" s="1023"/>
      <c r="AD31" s="1023"/>
      <c r="AE31" s="1023"/>
      <c r="AF31" s="1024"/>
      <c r="AQ31" s="617" t="s">
        <v>2529</v>
      </c>
    </row>
    <row r="32" spans="1:43" ht="12.75">
      <c r="A32" s="994" t="s">
        <v>2992</v>
      </c>
      <c r="B32" s="995"/>
      <c r="C32" s="995"/>
      <c r="D32" s="996"/>
      <c r="E32" s="637" t="s">
        <v>3135</v>
      </c>
      <c r="F32" s="636"/>
      <c r="G32" s="636"/>
      <c r="H32" s="634"/>
      <c r="I32" s="634"/>
      <c r="J32" s="634"/>
      <c r="K32" s="635"/>
      <c r="L32" s="635"/>
      <c r="M32" s="635"/>
      <c r="N32" s="635"/>
      <c r="O32" s="635"/>
      <c r="P32" s="635"/>
      <c r="Q32" s="635"/>
      <c r="R32" s="634"/>
      <c r="S32" s="634"/>
      <c r="T32" s="634"/>
      <c r="U32" s="634"/>
      <c r="V32" s="634"/>
      <c r="W32" s="634"/>
      <c r="X32" s="634"/>
      <c r="Y32" s="634"/>
      <c r="Z32" s="634"/>
      <c r="AA32" s="634"/>
      <c r="AB32" s="634"/>
      <c r="AC32" s="634"/>
      <c r="AD32" s="634"/>
      <c r="AE32" s="634"/>
      <c r="AF32" s="633"/>
      <c r="AQ32" s="617" t="s">
        <v>2466</v>
      </c>
    </row>
    <row r="33" spans="1:43" ht="12.75">
      <c r="A33" s="1035"/>
      <c r="B33" s="1036"/>
      <c r="C33" s="1036"/>
      <c r="D33" s="1037"/>
      <c r="E33" s="632" t="s">
        <v>3054</v>
      </c>
      <c r="F33" s="1025" t="s">
        <v>3199</v>
      </c>
      <c r="G33" s="1025"/>
      <c r="H33" s="1025"/>
      <c r="I33" s="1025"/>
      <c r="J33" s="1025"/>
      <c r="K33" s="1025"/>
      <c r="L33" s="1025"/>
      <c r="M33" s="1025"/>
      <c r="N33" s="1025"/>
      <c r="O33" s="1025"/>
      <c r="P33" s="1025"/>
      <c r="Q33" s="1025"/>
      <c r="R33" s="1025"/>
      <c r="S33" s="1025"/>
      <c r="T33" s="1025"/>
      <c r="U33" s="1025"/>
      <c r="V33" s="1025"/>
      <c r="W33" s="1025"/>
      <c r="X33" s="1025"/>
      <c r="Y33" s="1025"/>
      <c r="Z33" s="1025"/>
      <c r="AA33" s="1025"/>
      <c r="AB33" s="1025"/>
      <c r="AC33" s="1025"/>
      <c r="AD33" s="1025"/>
      <c r="AE33" s="1025"/>
      <c r="AF33" s="1026"/>
      <c r="AQ33" s="617" t="s">
        <v>2487</v>
      </c>
    </row>
    <row r="34" spans="1:43" ht="12.75">
      <c r="A34" s="1035"/>
      <c r="B34" s="1036"/>
      <c r="C34" s="1036"/>
      <c r="D34" s="1037"/>
      <c r="E34" s="631" t="s">
        <v>3136</v>
      </c>
      <c r="F34" s="627"/>
      <c r="G34" s="627"/>
      <c r="H34" s="630"/>
      <c r="I34" s="630"/>
      <c r="J34" s="630"/>
      <c r="K34" s="629"/>
      <c r="L34" s="629"/>
      <c r="M34" s="629"/>
      <c r="N34" s="629"/>
      <c r="O34" s="629"/>
      <c r="P34" s="629"/>
      <c r="Q34" s="629"/>
      <c r="R34" s="628"/>
      <c r="S34" s="627" t="s">
        <v>3040</v>
      </c>
      <c r="T34" s="627"/>
      <c r="U34" s="1045" t="s">
        <v>3196</v>
      </c>
      <c r="V34" s="1045"/>
      <c r="W34" s="1045"/>
      <c r="X34" s="1045"/>
      <c r="Y34" s="1045"/>
      <c r="Z34" s="1045"/>
      <c r="AA34" s="1045"/>
      <c r="AB34" s="1045"/>
      <c r="AC34" s="1045"/>
      <c r="AD34" s="1045"/>
      <c r="AE34" s="1045"/>
      <c r="AF34" s="1046"/>
      <c r="AQ34" s="617" t="s">
        <v>2475</v>
      </c>
    </row>
    <row r="35" spans="1:43" ht="13.5">
      <c r="A35" s="1035"/>
      <c r="B35" s="1036"/>
      <c r="C35" s="1036"/>
      <c r="D35" s="1037"/>
      <c r="E35" s="1027"/>
      <c r="F35" s="1028"/>
      <c r="G35" s="1028"/>
      <c r="H35" s="1028"/>
      <c r="I35" s="1028"/>
      <c r="J35" s="1028"/>
      <c r="K35" s="1028"/>
      <c r="L35" s="1028"/>
      <c r="M35" s="1028"/>
      <c r="N35" s="1028"/>
      <c r="O35" s="1028"/>
      <c r="P35" s="1028"/>
      <c r="Q35" s="1028"/>
      <c r="R35" s="1029"/>
      <c r="S35" s="626" t="s">
        <v>1474</v>
      </c>
      <c r="T35" s="618"/>
      <c r="U35" s="618"/>
      <c r="V35" s="618"/>
      <c r="W35" s="618"/>
      <c r="X35" s="618"/>
      <c r="Y35" s="625" t="s">
        <v>2868</v>
      </c>
      <c r="Z35" s="1048"/>
      <c r="AA35" s="1048"/>
      <c r="AB35" s="1048"/>
      <c r="AC35" s="1048"/>
      <c r="AD35" s="1048"/>
      <c r="AE35" s="618" t="s">
        <v>2869</v>
      </c>
      <c r="AF35" s="624"/>
      <c r="AJ35" s="617" t="s">
        <v>2745</v>
      </c>
      <c r="AQ35" s="617" t="s">
        <v>2499</v>
      </c>
    </row>
    <row r="36" spans="1:43" ht="12.75">
      <c r="A36" s="997"/>
      <c r="B36" s="998"/>
      <c r="C36" s="998"/>
      <c r="D36" s="999"/>
      <c r="E36" s="1011"/>
      <c r="F36" s="1012"/>
      <c r="G36" s="1012"/>
      <c r="H36" s="1012"/>
      <c r="I36" s="1012"/>
      <c r="J36" s="1012"/>
      <c r="K36" s="1012"/>
      <c r="L36" s="1012"/>
      <c r="M36" s="1012"/>
      <c r="N36" s="1012"/>
      <c r="O36" s="1012"/>
      <c r="P36" s="1012"/>
      <c r="Q36" s="1012"/>
      <c r="R36" s="1013"/>
      <c r="S36" s="623"/>
      <c r="T36" s="622"/>
      <c r="U36" s="622"/>
      <c r="V36" s="622"/>
      <c r="W36" s="622" t="s">
        <v>2831</v>
      </c>
      <c r="X36" s="1047"/>
      <c r="Y36" s="1047"/>
      <c r="Z36" s="671"/>
      <c r="AA36" s="622"/>
      <c r="AB36" s="1044"/>
      <c r="AC36" s="1044"/>
      <c r="AD36" s="1044"/>
      <c r="AE36" s="1044"/>
      <c r="AF36" s="621" t="s">
        <v>2762</v>
      </c>
      <c r="AJ36" s="617" t="s">
        <v>2753</v>
      </c>
      <c r="AQ36" s="617" t="s">
        <v>2563</v>
      </c>
    </row>
    <row r="37" spans="1:43" ht="12.75">
      <c r="A37" s="994" t="s">
        <v>3200</v>
      </c>
      <c r="B37" s="995"/>
      <c r="C37" s="995"/>
      <c r="D37" s="996"/>
      <c r="E37" s="1000"/>
      <c r="F37" s="1001"/>
      <c r="G37" s="1001"/>
      <c r="H37" s="1001"/>
      <c r="I37" s="1001"/>
      <c r="J37" s="1001"/>
      <c r="K37" s="1001"/>
      <c r="L37" s="1001"/>
      <c r="M37" s="1001"/>
      <c r="N37" s="1001"/>
      <c r="O37" s="1001"/>
      <c r="P37" s="1001"/>
      <c r="Q37" s="1001"/>
      <c r="R37" s="1001"/>
      <c r="S37" s="1001"/>
      <c r="T37" s="1001"/>
      <c r="U37" s="1001"/>
      <c r="V37" s="1001"/>
      <c r="W37" s="1001"/>
      <c r="X37" s="1001"/>
      <c r="Y37" s="1001"/>
      <c r="Z37" s="1001"/>
      <c r="AA37" s="1001"/>
      <c r="AB37" s="1001"/>
      <c r="AC37" s="1001"/>
      <c r="AD37" s="1001"/>
      <c r="AE37" s="1001"/>
      <c r="AF37" s="1002"/>
      <c r="AQ37" s="617" t="s">
        <v>2567</v>
      </c>
    </row>
    <row r="38" spans="1:43" ht="12.75">
      <c r="A38" s="997"/>
      <c r="B38" s="998"/>
      <c r="C38" s="998"/>
      <c r="D38" s="999"/>
      <c r="E38" s="1003"/>
      <c r="F38" s="1004"/>
      <c r="G38" s="1004"/>
      <c r="H38" s="1004"/>
      <c r="I38" s="1004"/>
      <c r="J38" s="1004"/>
      <c r="K38" s="1004"/>
      <c r="L38" s="1004"/>
      <c r="M38" s="1004"/>
      <c r="N38" s="1004"/>
      <c r="O38" s="1004"/>
      <c r="P38" s="1004"/>
      <c r="Q38" s="1004"/>
      <c r="R38" s="1004"/>
      <c r="S38" s="1004"/>
      <c r="T38" s="1004"/>
      <c r="U38" s="1004"/>
      <c r="V38" s="1004"/>
      <c r="W38" s="1004"/>
      <c r="X38" s="1004"/>
      <c r="Y38" s="1004"/>
      <c r="Z38" s="1004"/>
      <c r="AA38" s="1004"/>
      <c r="AB38" s="1004"/>
      <c r="AC38" s="1004"/>
      <c r="AD38" s="1004"/>
      <c r="AE38" s="1004"/>
      <c r="AF38" s="1005"/>
      <c r="AQ38" s="617" t="s">
        <v>2571</v>
      </c>
    </row>
    <row r="39" spans="1:43" ht="12.75">
      <c r="A39" s="618" t="s">
        <v>3099</v>
      </c>
      <c r="B39" s="618"/>
      <c r="C39" s="618" t="s">
        <v>3201</v>
      </c>
      <c r="V39" s="620"/>
      <c r="W39" s="620"/>
      <c r="X39" s="620"/>
      <c r="Y39" s="620"/>
      <c r="Z39" s="620"/>
      <c r="AQ39" s="617" t="s">
        <v>2575</v>
      </c>
    </row>
    <row r="40" spans="1:43" ht="12.75">
      <c r="C40" s="618" t="s">
        <v>3202</v>
      </c>
      <c r="H40" s="619"/>
      <c r="AQ40" s="617" t="s">
        <v>2579</v>
      </c>
    </row>
    <row r="41" spans="1:43" ht="12.75">
      <c r="C41" s="618" t="s">
        <v>3203</v>
      </c>
      <c r="AQ41" s="617" t="s">
        <v>2583</v>
      </c>
    </row>
    <row r="42" spans="1:43" ht="12.75">
      <c r="AQ42" s="617" t="s">
        <v>2591</v>
      </c>
    </row>
    <row r="43" spans="1:43" ht="12.75">
      <c r="AQ43" s="617" t="s">
        <v>2595</v>
      </c>
    </row>
    <row r="44" spans="1:43" ht="12.75">
      <c r="AQ44" s="617" t="s">
        <v>2599</v>
      </c>
    </row>
    <row r="45" spans="1:43" ht="12.75">
      <c r="AQ45" s="617" t="s">
        <v>2603</v>
      </c>
    </row>
    <row r="46" spans="1:43" ht="12.75">
      <c r="AQ46" s="617" t="s">
        <v>1476</v>
      </c>
    </row>
    <row r="47" spans="1:43" ht="12.75">
      <c r="AQ47" s="617" t="s">
        <v>2610</v>
      </c>
    </row>
    <row r="48" spans="1:43" ht="12.75">
      <c r="AQ48" s="617" t="s">
        <v>2614</v>
      </c>
    </row>
    <row r="49" spans="43:43" ht="12.75">
      <c r="AQ49" s="617" t="s">
        <v>2618</v>
      </c>
    </row>
    <row r="50" spans="43:43" ht="12.75">
      <c r="AQ50" s="617" t="s">
        <v>2622</v>
      </c>
    </row>
    <row r="51" spans="43:43" ht="12.75">
      <c r="AQ51" s="617" t="s">
        <v>2626</v>
      </c>
    </row>
    <row r="52" spans="43:43" ht="12.75">
      <c r="AQ52" s="617" t="s">
        <v>2630</v>
      </c>
    </row>
    <row r="53" spans="43:43" ht="12.75">
      <c r="AQ53" s="617" t="s">
        <v>2634</v>
      </c>
    </row>
    <row r="54" spans="43:43" ht="12.75">
      <c r="AQ54" s="617" t="s">
        <v>2638</v>
      </c>
    </row>
    <row r="55" spans="43:43" ht="12.75">
      <c r="AQ55" s="617" t="s">
        <v>2642</v>
      </c>
    </row>
    <row r="56" spans="43:43" ht="12.75">
      <c r="AQ56" s="617" t="s">
        <v>2646</v>
      </c>
    </row>
    <row r="57" spans="43:43" ht="12.75">
      <c r="AQ57" s="617" t="s">
        <v>2650</v>
      </c>
    </row>
    <row r="58" spans="43:43" ht="12.75">
      <c r="AQ58" s="617" t="s">
        <v>2654</v>
      </c>
    </row>
    <row r="59" spans="43:43" ht="12.75">
      <c r="AQ59" s="617" t="s">
        <v>2658</v>
      </c>
    </row>
    <row r="60" spans="43:43" ht="12.75">
      <c r="AQ60" s="617" t="s">
        <v>2662</v>
      </c>
    </row>
    <row r="61" spans="43:43" ht="12.75">
      <c r="AQ61" s="617" t="s">
        <v>2666</v>
      </c>
    </row>
    <row r="62" spans="43:43" ht="12.75">
      <c r="AQ62" s="617" t="s">
        <v>2670</v>
      </c>
    </row>
    <row r="63" spans="43:43" ht="12.75">
      <c r="AQ63" s="617" t="s">
        <v>2674</v>
      </c>
    </row>
    <row r="64" spans="43:43" ht="12.75">
      <c r="AQ64" s="617" t="s">
        <v>2677</v>
      </c>
    </row>
    <row r="65" spans="43:43" ht="12.75">
      <c r="AQ65" s="617" t="s">
        <v>2680</v>
      </c>
    </row>
    <row r="66" spans="43:43" ht="12.75">
      <c r="AQ66" s="617" t="s">
        <v>2683</v>
      </c>
    </row>
    <row r="67" spans="43:43" ht="12.75">
      <c r="AQ67" s="617" t="s">
        <v>2686</v>
      </c>
    </row>
  </sheetData>
  <mergeCells count="46">
    <mergeCell ref="A2:AF2"/>
    <mergeCell ref="W8:X8"/>
    <mergeCell ref="Z8:AA8"/>
    <mergeCell ref="AC8:AD8"/>
    <mergeCell ref="N10:AE10"/>
    <mergeCell ref="N11:AE12"/>
    <mergeCell ref="N13:AE13"/>
    <mergeCell ref="A17:AF17"/>
    <mergeCell ref="D20:AE20"/>
    <mergeCell ref="N14:AE15"/>
    <mergeCell ref="N21:O21"/>
    <mergeCell ref="Q21:R21"/>
    <mergeCell ref="T21:U21"/>
    <mergeCell ref="I22:J22"/>
    <mergeCell ref="K22:L22"/>
    <mergeCell ref="M22:N22"/>
    <mergeCell ref="O22:R22"/>
    <mergeCell ref="S22:U22"/>
    <mergeCell ref="A32:D36"/>
    <mergeCell ref="F33:J33"/>
    <mergeCell ref="E27:R27"/>
    <mergeCell ref="E28:R28"/>
    <mergeCell ref="S28:AF28"/>
    <mergeCell ref="E29:R29"/>
    <mergeCell ref="AB27:AE27"/>
    <mergeCell ref="T30:V30"/>
    <mergeCell ref="AB36:AE36"/>
    <mergeCell ref="U34:AF34"/>
    <mergeCell ref="X36:Y36"/>
    <mergeCell ref="Z35:AD35"/>
    <mergeCell ref="A37:D38"/>
    <mergeCell ref="E37:AF37"/>
    <mergeCell ref="E38:AF38"/>
    <mergeCell ref="E24:G24"/>
    <mergeCell ref="H25:AE25"/>
    <mergeCell ref="I24:J24"/>
    <mergeCell ref="L24:M24"/>
    <mergeCell ref="G30:R30"/>
    <mergeCell ref="E36:R36"/>
    <mergeCell ref="A24:D31"/>
    <mergeCell ref="L31:AF31"/>
    <mergeCell ref="K33:AF33"/>
    <mergeCell ref="E35:R35"/>
    <mergeCell ref="E26:R26"/>
    <mergeCell ref="S26:AF26"/>
    <mergeCell ref="AB30:AE30"/>
  </mergeCells>
  <phoneticPr fontId="7"/>
  <dataValidations count="8">
    <dataValidation type="list" allowBlank="1" showInputMessage="1" showErrorMessage="1" sqref="Z35" xr:uid="{1D88A03C-69C3-4AA3-81D7-1694A54AC3EF}">
      <formula1>$AQ$21:$AQ$67</formula1>
    </dataValidation>
    <dataValidation type="list" allowBlank="1" showInputMessage="1" showErrorMessage="1" sqref="X36:Y36" xr:uid="{904235AF-24F4-47A2-A88D-0AF7FA9000BB}">
      <formula1>"般-,特-"</formula1>
    </dataValidation>
    <dataValidation imeMode="hiragana" allowBlank="1" showInputMessage="1" showErrorMessage="1" sqref="WWC983062:WWF983062 JQ22:JT22 TM22:TP22 ADI22:ADL22 ANE22:ANH22 AXA22:AXD22 BGW22:BGZ22 BQS22:BQV22 CAO22:CAR22 CKK22:CKN22 CUG22:CUJ22 DEC22:DEF22 DNY22:DOB22 DXU22:DXX22 EHQ22:EHT22 ERM22:ERP22 FBI22:FBL22 FLE22:FLH22 FVA22:FVD22 GEW22:GEZ22 GOS22:GOV22 GYO22:GYR22 HIK22:HIN22 HSG22:HSJ22 ICC22:ICF22 ILY22:IMB22 IVU22:IVX22 JFQ22:JFT22 JPM22:JPP22 JZI22:JZL22 KJE22:KJH22 KTA22:KTD22 LCW22:LCZ22 LMS22:LMV22 LWO22:LWR22 MGK22:MGN22 MQG22:MQJ22 NAC22:NAF22 NJY22:NKB22 NTU22:NTX22 ODQ22:ODT22 ONM22:ONP22 OXI22:OXL22 PHE22:PHH22 PRA22:PRD22 QAW22:QAZ22 QKS22:QKV22 QUO22:QUR22 REK22:REN22 ROG22:ROJ22 RYC22:RYF22 SHY22:SIB22 SRU22:SRX22 TBQ22:TBT22 TLM22:TLP22 TVI22:TVL22 UFE22:UFH22 UPA22:UPD22 UYW22:UYZ22 VIS22:VIV22 VSO22:VSR22 WCK22:WCN22 WMG22:WMJ22 WWC22:WWF22 U65558:X65558 JQ65558:JT65558 TM65558:TP65558 ADI65558:ADL65558 ANE65558:ANH65558 AXA65558:AXD65558 BGW65558:BGZ65558 BQS65558:BQV65558 CAO65558:CAR65558 CKK65558:CKN65558 CUG65558:CUJ65558 DEC65558:DEF65558 DNY65558:DOB65558 DXU65558:DXX65558 EHQ65558:EHT65558 ERM65558:ERP65558 FBI65558:FBL65558 FLE65558:FLH65558 FVA65558:FVD65558 GEW65558:GEZ65558 GOS65558:GOV65558 GYO65558:GYR65558 HIK65558:HIN65558 HSG65558:HSJ65558 ICC65558:ICF65558 ILY65558:IMB65558 IVU65558:IVX65558 JFQ65558:JFT65558 JPM65558:JPP65558 JZI65558:JZL65558 KJE65558:KJH65558 KTA65558:KTD65558 LCW65558:LCZ65558 LMS65558:LMV65558 LWO65558:LWR65558 MGK65558:MGN65558 MQG65558:MQJ65558 NAC65558:NAF65558 NJY65558:NKB65558 NTU65558:NTX65558 ODQ65558:ODT65558 ONM65558:ONP65558 OXI65558:OXL65558 PHE65558:PHH65558 PRA65558:PRD65558 QAW65558:QAZ65558 QKS65558:QKV65558 QUO65558:QUR65558 REK65558:REN65558 ROG65558:ROJ65558 RYC65558:RYF65558 SHY65558:SIB65558 SRU65558:SRX65558 TBQ65558:TBT65558 TLM65558:TLP65558 TVI65558:TVL65558 UFE65558:UFH65558 UPA65558:UPD65558 UYW65558:UYZ65558 VIS65558:VIV65558 VSO65558:VSR65558 WCK65558:WCN65558 WMG65558:WMJ65558 WWC65558:WWF65558 U131094:X131094 JQ131094:JT131094 TM131094:TP131094 ADI131094:ADL131094 ANE131094:ANH131094 AXA131094:AXD131094 BGW131094:BGZ131094 BQS131094:BQV131094 CAO131094:CAR131094 CKK131094:CKN131094 CUG131094:CUJ131094 DEC131094:DEF131094 DNY131094:DOB131094 DXU131094:DXX131094 EHQ131094:EHT131094 ERM131094:ERP131094 FBI131094:FBL131094 FLE131094:FLH131094 FVA131094:FVD131094 GEW131094:GEZ131094 GOS131094:GOV131094 GYO131094:GYR131094 HIK131094:HIN131094 HSG131094:HSJ131094 ICC131094:ICF131094 ILY131094:IMB131094 IVU131094:IVX131094 JFQ131094:JFT131094 JPM131094:JPP131094 JZI131094:JZL131094 KJE131094:KJH131094 KTA131094:KTD131094 LCW131094:LCZ131094 LMS131094:LMV131094 LWO131094:LWR131094 MGK131094:MGN131094 MQG131094:MQJ131094 NAC131094:NAF131094 NJY131094:NKB131094 NTU131094:NTX131094 ODQ131094:ODT131094 ONM131094:ONP131094 OXI131094:OXL131094 PHE131094:PHH131094 PRA131094:PRD131094 QAW131094:QAZ131094 QKS131094:QKV131094 QUO131094:QUR131094 REK131094:REN131094 ROG131094:ROJ131094 RYC131094:RYF131094 SHY131094:SIB131094 SRU131094:SRX131094 TBQ131094:TBT131094 TLM131094:TLP131094 TVI131094:TVL131094 UFE131094:UFH131094 UPA131094:UPD131094 UYW131094:UYZ131094 VIS131094:VIV131094 VSO131094:VSR131094 WCK131094:WCN131094 WMG131094:WMJ131094 WWC131094:WWF131094 U196630:X196630 JQ196630:JT196630 TM196630:TP196630 ADI196630:ADL196630 ANE196630:ANH196630 AXA196630:AXD196630 BGW196630:BGZ196630 BQS196630:BQV196630 CAO196630:CAR196630 CKK196630:CKN196630 CUG196630:CUJ196630 DEC196630:DEF196630 DNY196630:DOB196630 DXU196630:DXX196630 EHQ196630:EHT196630 ERM196630:ERP196630 FBI196630:FBL196630 FLE196630:FLH196630 FVA196630:FVD196630 GEW196630:GEZ196630 GOS196630:GOV196630 GYO196630:GYR196630 HIK196630:HIN196630 HSG196630:HSJ196630 ICC196630:ICF196630 ILY196630:IMB196630 IVU196630:IVX196630 JFQ196630:JFT196630 JPM196630:JPP196630 JZI196630:JZL196630 KJE196630:KJH196630 KTA196630:KTD196630 LCW196630:LCZ196630 LMS196630:LMV196630 LWO196630:LWR196630 MGK196630:MGN196630 MQG196630:MQJ196630 NAC196630:NAF196630 NJY196630:NKB196630 NTU196630:NTX196630 ODQ196630:ODT196630 ONM196630:ONP196630 OXI196630:OXL196630 PHE196630:PHH196630 PRA196630:PRD196630 QAW196630:QAZ196630 QKS196630:QKV196630 QUO196630:QUR196630 REK196630:REN196630 ROG196630:ROJ196630 RYC196630:RYF196630 SHY196630:SIB196630 SRU196630:SRX196630 TBQ196630:TBT196630 TLM196630:TLP196630 TVI196630:TVL196630 UFE196630:UFH196630 UPA196630:UPD196630 UYW196630:UYZ196630 VIS196630:VIV196630 VSO196630:VSR196630 WCK196630:WCN196630 WMG196630:WMJ196630 WWC196630:WWF196630 U262166:X262166 JQ262166:JT262166 TM262166:TP262166 ADI262166:ADL262166 ANE262166:ANH262166 AXA262166:AXD262166 BGW262166:BGZ262166 BQS262166:BQV262166 CAO262166:CAR262166 CKK262166:CKN262166 CUG262166:CUJ262166 DEC262166:DEF262166 DNY262166:DOB262166 DXU262166:DXX262166 EHQ262166:EHT262166 ERM262166:ERP262166 FBI262166:FBL262166 FLE262166:FLH262166 FVA262166:FVD262166 GEW262166:GEZ262166 GOS262166:GOV262166 GYO262166:GYR262166 HIK262166:HIN262166 HSG262166:HSJ262166 ICC262166:ICF262166 ILY262166:IMB262166 IVU262166:IVX262166 JFQ262166:JFT262166 JPM262166:JPP262166 JZI262166:JZL262166 KJE262166:KJH262166 KTA262166:KTD262166 LCW262166:LCZ262166 LMS262166:LMV262166 LWO262166:LWR262166 MGK262166:MGN262166 MQG262166:MQJ262166 NAC262166:NAF262166 NJY262166:NKB262166 NTU262166:NTX262166 ODQ262166:ODT262166 ONM262166:ONP262166 OXI262166:OXL262166 PHE262166:PHH262166 PRA262166:PRD262166 QAW262166:QAZ262166 QKS262166:QKV262166 QUO262166:QUR262166 REK262166:REN262166 ROG262166:ROJ262166 RYC262166:RYF262166 SHY262166:SIB262166 SRU262166:SRX262166 TBQ262166:TBT262166 TLM262166:TLP262166 TVI262166:TVL262166 UFE262166:UFH262166 UPA262166:UPD262166 UYW262166:UYZ262166 VIS262166:VIV262166 VSO262166:VSR262166 WCK262166:WCN262166 WMG262166:WMJ262166 WWC262166:WWF262166 U327702:X327702 JQ327702:JT327702 TM327702:TP327702 ADI327702:ADL327702 ANE327702:ANH327702 AXA327702:AXD327702 BGW327702:BGZ327702 BQS327702:BQV327702 CAO327702:CAR327702 CKK327702:CKN327702 CUG327702:CUJ327702 DEC327702:DEF327702 DNY327702:DOB327702 DXU327702:DXX327702 EHQ327702:EHT327702 ERM327702:ERP327702 FBI327702:FBL327702 FLE327702:FLH327702 FVA327702:FVD327702 GEW327702:GEZ327702 GOS327702:GOV327702 GYO327702:GYR327702 HIK327702:HIN327702 HSG327702:HSJ327702 ICC327702:ICF327702 ILY327702:IMB327702 IVU327702:IVX327702 JFQ327702:JFT327702 JPM327702:JPP327702 JZI327702:JZL327702 KJE327702:KJH327702 KTA327702:KTD327702 LCW327702:LCZ327702 LMS327702:LMV327702 LWO327702:LWR327702 MGK327702:MGN327702 MQG327702:MQJ327702 NAC327702:NAF327702 NJY327702:NKB327702 NTU327702:NTX327702 ODQ327702:ODT327702 ONM327702:ONP327702 OXI327702:OXL327702 PHE327702:PHH327702 PRA327702:PRD327702 QAW327702:QAZ327702 QKS327702:QKV327702 QUO327702:QUR327702 REK327702:REN327702 ROG327702:ROJ327702 RYC327702:RYF327702 SHY327702:SIB327702 SRU327702:SRX327702 TBQ327702:TBT327702 TLM327702:TLP327702 TVI327702:TVL327702 UFE327702:UFH327702 UPA327702:UPD327702 UYW327702:UYZ327702 VIS327702:VIV327702 VSO327702:VSR327702 WCK327702:WCN327702 WMG327702:WMJ327702 WWC327702:WWF327702 U393238:X393238 JQ393238:JT393238 TM393238:TP393238 ADI393238:ADL393238 ANE393238:ANH393238 AXA393238:AXD393238 BGW393238:BGZ393238 BQS393238:BQV393238 CAO393238:CAR393238 CKK393238:CKN393238 CUG393238:CUJ393238 DEC393238:DEF393238 DNY393238:DOB393238 DXU393238:DXX393238 EHQ393238:EHT393238 ERM393238:ERP393238 FBI393238:FBL393238 FLE393238:FLH393238 FVA393238:FVD393238 GEW393238:GEZ393238 GOS393238:GOV393238 GYO393238:GYR393238 HIK393238:HIN393238 HSG393238:HSJ393238 ICC393238:ICF393238 ILY393238:IMB393238 IVU393238:IVX393238 JFQ393238:JFT393238 JPM393238:JPP393238 JZI393238:JZL393238 KJE393238:KJH393238 KTA393238:KTD393238 LCW393238:LCZ393238 LMS393238:LMV393238 LWO393238:LWR393238 MGK393238:MGN393238 MQG393238:MQJ393238 NAC393238:NAF393238 NJY393238:NKB393238 NTU393238:NTX393238 ODQ393238:ODT393238 ONM393238:ONP393238 OXI393238:OXL393238 PHE393238:PHH393238 PRA393238:PRD393238 QAW393238:QAZ393238 QKS393238:QKV393238 QUO393238:QUR393238 REK393238:REN393238 ROG393238:ROJ393238 RYC393238:RYF393238 SHY393238:SIB393238 SRU393238:SRX393238 TBQ393238:TBT393238 TLM393238:TLP393238 TVI393238:TVL393238 UFE393238:UFH393238 UPA393238:UPD393238 UYW393238:UYZ393238 VIS393238:VIV393238 VSO393238:VSR393238 WCK393238:WCN393238 WMG393238:WMJ393238 WWC393238:WWF393238 U458774:X458774 JQ458774:JT458774 TM458774:TP458774 ADI458774:ADL458774 ANE458774:ANH458774 AXA458774:AXD458774 BGW458774:BGZ458774 BQS458774:BQV458774 CAO458774:CAR458774 CKK458774:CKN458774 CUG458774:CUJ458774 DEC458774:DEF458774 DNY458774:DOB458774 DXU458774:DXX458774 EHQ458774:EHT458774 ERM458774:ERP458774 FBI458774:FBL458774 FLE458774:FLH458774 FVA458774:FVD458774 GEW458774:GEZ458774 GOS458774:GOV458774 GYO458774:GYR458774 HIK458774:HIN458774 HSG458774:HSJ458774 ICC458774:ICF458774 ILY458774:IMB458774 IVU458774:IVX458774 JFQ458774:JFT458774 JPM458774:JPP458774 JZI458774:JZL458774 KJE458774:KJH458774 KTA458774:KTD458774 LCW458774:LCZ458774 LMS458774:LMV458774 LWO458774:LWR458774 MGK458774:MGN458774 MQG458774:MQJ458774 NAC458774:NAF458774 NJY458774:NKB458774 NTU458774:NTX458774 ODQ458774:ODT458774 ONM458774:ONP458774 OXI458774:OXL458774 PHE458774:PHH458774 PRA458774:PRD458774 QAW458774:QAZ458774 QKS458774:QKV458774 QUO458774:QUR458774 REK458774:REN458774 ROG458774:ROJ458774 RYC458774:RYF458774 SHY458774:SIB458774 SRU458774:SRX458774 TBQ458774:TBT458774 TLM458774:TLP458774 TVI458774:TVL458774 UFE458774:UFH458774 UPA458774:UPD458774 UYW458774:UYZ458774 VIS458774:VIV458774 VSO458774:VSR458774 WCK458774:WCN458774 WMG458774:WMJ458774 WWC458774:WWF458774 U524310:X524310 JQ524310:JT524310 TM524310:TP524310 ADI524310:ADL524310 ANE524310:ANH524310 AXA524310:AXD524310 BGW524310:BGZ524310 BQS524310:BQV524310 CAO524310:CAR524310 CKK524310:CKN524310 CUG524310:CUJ524310 DEC524310:DEF524310 DNY524310:DOB524310 DXU524310:DXX524310 EHQ524310:EHT524310 ERM524310:ERP524310 FBI524310:FBL524310 FLE524310:FLH524310 FVA524310:FVD524310 GEW524310:GEZ524310 GOS524310:GOV524310 GYO524310:GYR524310 HIK524310:HIN524310 HSG524310:HSJ524310 ICC524310:ICF524310 ILY524310:IMB524310 IVU524310:IVX524310 JFQ524310:JFT524310 JPM524310:JPP524310 JZI524310:JZL524310 KJE524310:KJH524310 KTA524310:KTD524310 LCW524310:LCZ524310 LMS524310:LMV524310 LWO524310:LWR524310 MGK524310:MGN524310 MQG524310:MQJ524310 NAC524310:NAF524310 NJY524310:NKB524310 NTU524310:NTX524310 ODQ524310:ODT524310 ONM524310:ONP524310 OXI524310:OXL524310 PHE524310:PHH524310 PRA524310:PRD524310 QAW524310:QAZ524310 QKS524310:QKV524310 QUO524310:QUR524310 REK524310:REN524310 ROG524310:ROJ524310 RYC524310:RYF524310 SHY524310:SIB524310 SRU524310:SRX524310 TBQ524310:TBT524310 TLM524310:TLP524310 TVI524310:TVL524310 UFE524310:UFH524310 UPA524310:UPD524310 UYW524310:UYZ524310 VIS524310:VIV524310 VSO524310:VSR524310 WCK524310:WCN524310 WMG524310:WMJ524310 WWC524310:WWF524310 U589846:X589846 JQ589846:JT589846 TM589846:TP589846 ADI589846:ADL589846 ANE589846:ANH589846 AXA589846:AXD589846 BGW589846:BGZ589846 BQS589846:BQV589846 CAO589846:CAR589846 CKK589846:CKN589846 CUG589846:CUJ589846 DEC589846:DEF589846 DNY589846:DOB589846 DXU589846:DXX589846 EHQ589846:EHT589846 ERM589846:ERP589846 FBI589846:FBL589846 FLE589846:FLH589846 FVA589846:FVD589846 GEW589846:GEZ589846 GOS589846:GOV589846 GYO589846:GYR589846 HIK589846:HIN589846 HSG589846:HSJ589846 ICC589846:ICF589846 ILY589846:IMB589846 IVU589846:IVX589846 JFQ589846:JFT589846 JPM589846:JPP589846 JZI589846:JZL589846 KJE589846:KJH589846 KTA589846:KTD589846 LCW589846:LCZ589846 LMS589846:LMV589846 LWO589846:LWR589846 MGK589846:MGN589846 MQG589846:MQJ589846 NAC589846:NAF589846 NJY589846:NKB589846 NTU589846:NTX589846 ODQ589846:ODT589846 ONM589846:ONP589846 OXI589846:OXL589846 PHE589846:PHH589846 PRA589846:PRD589846 QAW589846:QAZ589846 QKS589846:QKV589846 QUO589846:QUR589846 REK589846:REN589846 ROG589846:ROJ589846 RYC589846:RYF589846 SHY589846:SIB589846 SRU589846:SRX589846 TBQ589846:TBT589846 TLM589846:TLP589846 TVI589846:TVL589846 UFE589846:UFH589846 UPA589846:UPD589846 UYW589846:UYZ589846 VIS589846:VIV589846 VSO589846:VSR589846 WCK589846:WCN589846 WMG589846:WMJ589846 WWC589846:WWF589846 U655382:X655382 JQ655382:JT655382 TM655382:TP655382 ADI655382:ADL655382 ANE655382:ANH655382 AXA655382:AXD655382 BGW655382:BGZ655382 BQS655382:BQV655382 CAO655382:CAR655382 CKK655382:CKN655382 CUG655382:CUJ655382 DEC655382:DEF655382 DNY655382:DOB655382 DXU655382:DXX655382 EHQ655382:EHT655382 ERM655382:ERP655382 FBI655382:FBL655382 FLE655382:FLH655382 FVA655382:FVD655382 GEW655382:GEZ655382 GOS655382:GOV655382 GYO655382:GYR655382 HIK655382:HIN655382 HSG655382:HSJ655382 ICC655382:ICF655382 ILY655382:IMB655382 IVU655382:IVX655382 JFQ655382:JFT655382 JPM655382:JPP655382 JZI655382:JZL655382 KJE655382:KJH655382 KTA655382:KTD655382 LCW655382:LCZ655382 LMS655382:LMV655382 LWO655382:LWR655382 MGK655382:MGN655382 MQG655382:MQJ655382 NAC655382:NAF655382 NJY655382:NKB655382 NTU655382:NTX655382 ODQ655382:ODT655382 ONM655382:ONP655382 OXI655382:OXL655382 PHE655382:PHH655382 PRA655382:PRD655382 QAW655382:QAZ655382 QKS655382:QKV655382 QUO655382:QUR655382 REK655382:REN655382 ROG655382:ROJ655382 RYC655382:RYF655382 SHY655382:SIB655382 SRU655382:SRX655382 TBQ655382:TBT655382 TLM655382:TLP655382 TVI655382:TVL655382 UFE655382:UFH655382 UPA655382:UPD655382 UYW655382:UYZ655382 VIS655382:VIV655382 VSO655382:VSR655382 WCK655382:WCN655382 WMG655382:WMJ655382 WWC655382:WWF655382 U720918:X720918 JQ720918:JT720918 TM720918:TP720918 ADI720918:ADL720918 ANE720918:ANH720918 AXA720918:AXD720918 BGW720918:BGZ720918 BQS720918:BQV720918 CAO720918:CAR720918 CKK720918:CKN720918 CUG720918:CUJ720918 DEC720918:DEF720918 DNY720918:DOB720918 DXU720918:DXX720918 EHQ720918:EHT720918 ERM720918:ERP720918 FBI720918:FBL720918 FLE720918:FLH720918 FVA720918:FVD720918 GEW720918:GEZ720918 GOS720918:GOV720918 GYO720918:GYR720918 HIK720918:HIN720918 HSG720918:HSJ720918 ICC720918:ICF720918 ILY720918:IMB720918 IVU720918:IVX720918 JFQ720918:JFT720918 JPM720918:JPP720918 JZI720918:JZL720918 KJE720918:KJH720918 KTA720918:KTD720918 LCW720918:LCZ720918 LMS720918:LMV720918 LWO720918:LWR720918 MGK720918:MGN720918 MQG720918:MQJ720918 NAC720918:NAF720918 NJY720918:NKB720918 NTU720918:NTX720918 ODQ720918:ODT720918 ONM720918:ONP720918 OXI720918:OXL720918 PHE720918:PHH720918 PRA720918:PRD720918 QAW720918:QAZ720918 QKS720918:QKV720918 QUO720918:QUR720918 REK720918:REN720918 ROG720918:ROJ720918 RYC720918:RYF720918 SHY720918:SIB720918 SRU720918:SRX720918 TBQ720918:TBT720918 TLM720918:TLP720918 TVI720918:TVL720918 UFE720918:UFH720918 UPA720918:UPD720918 UYW720918:UYZ720918 VIS720918:VIV720918 VSO720918:VSR720918 WCK720918:WCN720918 WMG720918:WMJ720918 WWC720918:WWF720918 U786454:X786454 JQ786454:JT786454 TM786454:TP786454 ADI786454:ADL786454 ANE786454:ANH786454 AXA786454:AXD786454 BGW786454:BGZ786454 BQS786454:BQV786454 CAO786454:CAR786454 CKK786454:CKN786454 CUG786454:CUJ786454 DEC786454:DEF786454 DNY786454:DOB786454 DXU786454:DXX786454 EHQ786454:EHT786454 ERM786454:ERP786454 FBI786454:FBL786454 FLE786454:FLH786454 FVA786454:FVD786454 GEW786454:GEZ786454 GOS786454:GOV786454 GYO786454:GYR786454 HIK786454:HIN786454 HSG786454:HSJ786454 ICC786454:ICF786454 ILY786454:IMB786454 IVU786454:IVX786454 JFQ786454:JFT786454 JPM786454:JPP786454 JZI786454:JZL786454 KJE786454:KJH786454 KTA786454:KTD786454 LCW786454:LCZ786454 LMS786454:LMV786454 LWO786454:LWR786454 MGK786454:MGN786454 MQG786454:MQJ786454 NAC786454:NAF786454 NJY786454:NKB786454 NTU786454:NTX786454 ODQ786454:ODT786454 ONM786454:ONP786454 OXI786454:OXL786454 PHE786454:PHH786454 PRA786454:PRD786454 QAW786454:QAZ786454 QKS786454:QKV786454 QUO786454:QUR786454 REK786454:REN786454 ROG786454:ROJ786454 RYC786454:RYF786454 SHY786454:SIB786454 SRU786454:SRX786454 TBQ786454:TBT786454 TLM786454:TLP786454 TVI786454:TVL786454 UFE786454:UFH786454 UPA786454:UPD786454 UYW786454:UYZ786454 VIS786454:VIV786454 VSO786454:VSR786454 WCK786454:WCN786454 WMG786454:WMJ786454 WWC786454:WWF786454 U851990:X851990 JQ851990:JT851990 TM851990:TP851990 ADI851990:ADL851990 ANE851990:ANH851990 AXA851990:AXD851990 BGW851990:BGZ851990 BQS851990:BQV851990 CAO851990:CAR851990 CKK851990:CKN851990 CUG851990:CUJ851990 DEC851990:DEF851990 DNY851990:DOB851990 DXU851990:DXX851990 EHQ851990:EHT851990 ERM851990:ERP851990 FBI851990:FBL851990 FLE851990:FLH851990 FVA851990:FVD851990 GEW851990:GEZ851990 GOS851990:GOV851990 GYO851990:GYR851990 HIK851990:HIN851990 HSG851990:HSJ851990 ICC851990:ICF851990 ILY851990:IMB851990 IVU851990:IVX851990 JFQ851990:JFT851990 JPM851990:JPP851990 JZI851990:JZL851990 KJE851990:KJH851990 KTA851990:KTD851990 LCW851990:LCZ851990 LMS851990:LMV851990 LWO851990:LWR851990 MGK851990:MGN851990 MQG851990:MQJ851990 NAC851990:NAF851990 NJY851990:NKB851990 NTU851990:NTX851990 ODQ851990:ODT851990 ONM851990:ONP851990 OXI851990:OXL851990 PHE851990:PHH851990 PRA851990:PRD851990 QAW851990:QAZ851990 QKS851990:QKV851990 QUO851990:QUR851990 REK851990:REN851990 ROG851990:ROJ851990 RYC851990:RYF851990 SHY851990:SIB851990 SRU851990:SRX851990 TBQ851990:TBT851990 TLM851990:TLP851990 TVI851990:TVL851990 UFE851990:UFH851990 UPA851990:UPD851990 UYW851990:UYZ851990 VIS851990:VIV851990 VSO851990:VSR851990 WCK851990:WCN851990 WMG851990:WMJ851990 WWC851990:WWF851990 U917526:X917526 JQ917526:JT917526 TM917526:TP917526 ADI917526:ADL917526 ANE917526:ANH917526 AXA917526:AXD917526 BGW917526:BGZ917526 BQS917526:BQV917526 CAO917526:CAR917526 CKK917526:CKN917526 CUG917526:CUJ917526 DEC917526:DEF917526 DNY917526:DOB917526 DXU917526:DXX917526 EHQ917526:EHT917526 ERM917526:ERP917526 FBI917526:FBL917526 FLE917526:FLH917526 FVA917526:FVD917526 GEW917526:GEZ917526 GOS917526:GOV917526 GYO917526:GYR917526 HIK917526:HIN917526 HSG917526:HSJ917526 ICC917526:ICF917526 ILY917526:IMB917526 IVU917526:IVX917526 JFQ917526:JFT917526 JPM917526:JPP917526 JZI917526:JZL917526 KJE917526:KJH917526 KTA917526:KTD917526 LCW917526:LCZ917526 LMS917526:LMV917526 LWO917526:LWR917526 MGK917526:MGN917526 MQG917526:MQJ917526 NAC917526:NAF917526 NJY917526:NKB917526 NTU917526:NTX917526 ODQ917526:ODT917526 ONM917526:ONP917526 OXI917526:OXL917526 PHE917526:PHH917526 PRA917526:PRD917526 QAW917526:QAZ917526 QKS917526:QKV917526 QUO917526:QUR917526 REK917526:REN917526 ROG917526:ROJ917526 RYC917526:RYF917526 SHY917526:SIB917526 SRU917526:SRX917526 TBQ917526:TBT917526 TLM917526:TLP917526 TVI917526:TVL917526 UFE917526:UFH917526 UPA917526:UPD917526 UYW917526:UYZ917526 VIS917526:VIV917526 VSO917526:VSR917526 WCK917526:WCN917526 WMG917526:WMJ917526 WWC917526:WWF917526 U983062:X983062 JQ983062:JT983062 TM983062:TP983062 ADI983062:ADL983062 ANE983062:ANH983062 AXA983062:AXD983062 BGW983062:BGZ983062 BQS983062:BQV983062 CAO983062:CAR983062 CKK983062:CKN983062 CUG983062:CUJ983062 DEC983062:DEF983062 DNY983062:DOB983062 DXU983062:DXX983062 EHQ983062:EHT983062 ERM983062:ERP983062 FBI983062:FBL983062 FLE983062:FLH983062 FVA983062:FVD983062 GEW983062:GEZ983062 GOS983062:GOV983062 GYO983062:GYR983062 HIK983062:HIN983062 HSG983062:HSJ983062 ICC983062:ICF983062 ILY983062:IMB983062 IVU983062:IVX983062 JFQ983062:JFT983062 JPM983062:JPP983062 JZI983062:JZL983062 KJE983062:KJH983062 KTA983062:KTD983062 LCW983062:LCZ983062 LMS983062:LMV983062 LWO983062:LWR983062 MGK983062:MGN983062 MQG983062:MQJ983062 NAC983062:NAF983062 NJY983062:NKB983062 NTU983062:NTX983062 ODQ983062:ODT983062 ONM983062:ONP983062 OXI983062:OXL983062 PHE983062:PHH983062 PRA983062:PRD983062 QAW983062:QAZ983062 QKS983062:QKV983062 QUO983062:QUR983062 REK983062:REN983062 ROG983062:ROJ983062 RYC983062:RYF983062 SHY983062:SIB983062 SRU983062:SRX983062 TBQ983062:TBT983062 TLM983062:TLP983062 TVI983062:TVL983062 UFE983062:UFH983062 UPA983062:UPD983062 UYW983062:UYZ983062 VIS983062:VIV983062 VSO983062:VSR983062 WCK983062:WCN983062 WMG983062:WMJ983062 W22:X22" xr:uid="{7F92F8A3-7B0C-4649-A64C-48DF4648EF6B}"/>
    <dataValidation imeMode="fullAlpha" allowBlank="1" showInputMessage="1" showErrorMessage="1" sqref="F32:F34 JB32:JB34 SX32:SX34 ACT32:ACT34 AMP32:AMP34 AWL32:AWL34 BGH32:BGH34 BQD32:BQD34 BZZ32:BZZ34 CJV32:CJV34 CTR32:CTR34 DDN32:DDN34 DNJ32:DNJ34 DXF32:DXF34 EHB32:EHB34 EQX32:EQX34 FAT32:FAT34 FKP32:FKP34 FUL32:FUL34 GEH32:GEH34 GOD32:GOD34 GXZ32:GXZ34 HHV32:HHV34 HRR32:HRR34 IBN32:IBN34 ILJ32:ILJ34 IVF32:IVF34 JFB32:JFB34 JOX32:JOX34 JYT32:JYT34 KIP32:KIP34 KSL32:KSL34 LCH32:LCH34 LMD32:LMD34 LVZ32:LVZ34 MFV32:MFV34 MPR32:MPR34 MZN32:MZN34 NJJ32:NJJ34 NTF32:NTF34 ODB32:ODB34 OMX32:OMX34 OWT32:OWT34 PGP32:PGP34 PQL32:PQL34 QAH32:QAH34 QKD32:QKD34 QTZ32:QTZ34 RDV32:RDV34 RNR32:RNR34 RXN32:RXN34 SHJ32:SHJ34 SRF32:SRF34 TBB32:TBB34 TKX32:TKX34 TUT32:TUT34 UEP32:UEP34 UOL32:UOL34 UYH32:UYH34 VID32:VID34 VRZ32:VRZ34 WBV32:WBV34 WLR32:WLR34 WVN32:WVN34 F65568:F65570 JB65568:JB65570 SX65568:SX65570 ACT65568:ACT65570 AMP65568:AMP65570 AWL65568:AWL65570 BGH65568:BGH65570 BQD65568:BQD65570 BZZ65568:BZZ65570 CJV65568:CJV65570 CTR65568:CTR65570 DDN65568:DDN65570 DNJ65568:DNJ65570 DXF65568:DXF65570 EHB65568:EHB65570 EQX65568:EQX65570 FAT65568:FAT65570 FKP65568:FKP65570 FUL65568:FUL65570 GEH65568:GEH65570 GOD65568:GOD65570 GXZ65568:GXZ65570 HHV65568:HHV65570 HRR65568:HRR65570 IBN65568:IBN65570 ILJ65568:ILJ65570 IVF65568:IVF65570 JFB65568:JFB65570 JOX65568:JOX65570 JYT65568:JYT65570 KIP65568:KIP65570 KSL65568:KSL65570 LCH65568:LCH65570 LMD65568:LMD65570 LVZ65568:LVZ65570 MFV65568:MFV65570 MPR65568:MPR65570 MZN65568:MZN65570 NJJ65568:NJJ65570 NTF65568:NTF65570 ODB65568:ODB65570 OMX65568:OMX65570 OWT65568:OWT65570 PGP65568:PGP65570 PQL65568:PQL65570 QAH65568:QAH65570 QKD65568:QKD65570 QTZ65568:QTZ65570 RDV65568:RDV65570 RNR65568:RNR65570 RXN65568:RXN65570 SHJ65568:SHJ65570 SRF65568:SRF65570 TBB65568:TBB65570 TKX65568:TKX65570 TUT65568:TUT65570 UEP65568:UEP65570 UOL65568:UOL65570 UYH65568:UYH65570 VID65568:VID65570 VRZ65568:VRZ65570 WBV65568:WBV65570 WLR65568:WLR65570 WVN65568:WVN65570 F131104:F131106 JB131104:JB131106 SX131104:SX131106 ACT131104:ACT131106 AMP131104:AMP131106 AWL131104:AWL131106 BGH131104:BGH131106 BQD131104:BQD131106 BZZ131104:BZZ131106 CJV131104:CJV131106 CTR131104:CTR131106 DDN131104:DDN131106 DNJ131104:DNJ131106 DXF131104:DXF131106 EHB131104:EHB131106 EQX131104:EQX131106 FAT131104:FAT131106 FKP131104:FKP131106 FUL131104:FUL131106 GEH131104:GEH131106 GOD131104:GOD131106 GXZ131104:GXZ131106 HHV131104:HHV131106 HRR131104:HRR131106 IBN131104:IBN131106 ILJ131104:ILJ131106 IVF131104:IVF131106 JFB131104:JFB131106 JOX131104:JOX131106 JYT131104:JYT131106 KIP131104:KIP131106 KSL131104:KSL131106 LCH131104:LCH131106 LMD131104:LMD131106 LVZ131104:LVZ131106 MFV131104:MFV131106 MPR131104:MPR131106 MZN131104:MZN131106 NJJ131104:NJJ131106 NTF131104:NTF131106 ODB131104:ODB131106 OMX131104:OMX131106 OWT131104:OWT131106 PGP131104:PGP131106 PQL131104:PQL131106 QAH131104:QAH131106 QKD131104:QKD131106 QTZ131104:QTZ131106 RDV131104:RDV131106 RNR131104:RNR131106 RXN131104:RXN131106 SHJ131104:SHJ131106 SRF131104:SRF131106 TBB131104:TBB131106 TKX131104:TKX131106 TUT131104:TUT131106 UEP131104:UEP131106 UOL131104:UOL131106 UYH131104:UYH131106 VID131104:VID131106 VRZ131104:VRZ131106 WBV131104:WBV131106 WLR131104:WLR131106 WVN131104:WVN131106 F196640:F196642 JB196640:JB196642 SX196640:SX196642 ACT196640:ACT196642 AMP196640:AMP196642 AWL196640:AWL196642 BGH196640:BGH196642 BQD196640:BQD196642 BZZ196640:BZZ196642 CJV196640:CJV196642 CTR196640:CTR196642 DDN196640:DDN196642 DNJ196640:DNJ196642 DXF196640:DXF196642 EHB196640:EHB196642 EQX196640:EQX196642 FAT196640:FAT196642 FKP196640:FKP196642 FUL196640:FUL196642 GEH196640:GEH196642 GOD196640:GOD196642 GXZ196640:GXZ196642 HHV196640:HHV196642 HRR196640:HRR196642 IBN196640:IBN196642 ILJ196640:ILJ196642 IVF196640:IVF196642 JFB196640:JFB196642 JOX196640:JOX196642 JYT196640:JYT196642 KIP196640:KIP196642 KSL196640:KSL196642 LCH196640:LCH196642 LMD196640:LMD196642 LVZ196640:LVZ196642 MFV196640:MFV196642 MPR196640:MPR196642 MZN196640:MZN196642 NJJ196640:NJJ196642 NTF196640:NTF196642 ODB196640:ODB196642 OMX196640:OMX196642 OWT196640:OWT196642 PGP196640:PGP196642 PQL196640:PQL196642 QAH196640:QAH196642 QKD196640:QKD196642 QTZ196640:QTZ196642 RDV196640:RDV196642 RNR196640:RNR196642 RXN196640:RXN196642 SHJ196640:SHJ196642 SRF196640:SRF196642 TBB196640:TBB196642 TKX196640:TKX196642 TUT196640:TUT196642 UEP196640:UEP196642 UOL196640:UOL196642 UYH196640:UYH196642 VID196640:VID196642 VRZ196640:VRZ196642 WBV196640:WBV196642 WLR196640:WLR196642 WVN196640:WVN196642 F262176:F262178 JB262176:JB262178 SX262176:SX262178 ACT262176:ACT262178 AMP262176:AMP262178 AWL262176:AWL262178 BGH262176:BGH262178 BQD262176:BQD262178 BZZ262176:BZZ262178 CJV262176:CJV262178 CTR262176:CTR262178 DDN262176:DDN262178 DNJ262176:DNJ262178 DXF262176:DXF262178 EHB262176:EHB262178 EQX262176:EQX262178 FAT262176:FAT262178 FKP262176:FKP262178 FUL262176:FUL262178 GEH262176:GEH262178 GOD262176:GOD262178 GXZ262176:GXZ262178 HHV262176:HHV262178 HRR262176:HRR262178 IBN262176:IBN262178 ILJ262176:ILJ262178 IVF262176:IVF262178 JFB262176:JFB262178 JOX262176:JOX262178 JYT262176:JYT262178 KIP262176:KIP262178 KSL262176:KSL262178 LCH262176:LCH262178 LMD262176:LMD262178 LVZ262176:LVZ262178 MFV262176:MFV262178 MPR262176:MPR262178 MZN262176:MZN262178 NJJ262176:NJJ262178 NTF262176:NTF262178 ODB262176:ODB262178 OMX262176:OMX262178 OWT262176:OWT262178 PGP262176:PGP262178 PQL262176:PQL262178 QAH262176:QAH262178 QKD262176:QKD262178 QTZ262176:QTZ262178 RDV262176:RDV262178 RNR262176:RNR262178 RXN262176:RXN262178 SHJ262176:SHJ262178 SRF262176:SRF262178 TBB262176:TBB262178 TKX262176:TKX262178 TUT262176:TUT262178 UEP262176:UEP262178 UOL262176:UOL262178 UYH262176:UYH262178 VID262176:VID262178 VRZ262176:VRZ262178 WBV262176:WBV262178 WLR262176:WLR262178 WVN262176:WVN262178 F327712:F327714 JB327712:JB327714 SX327712:SX327714 ACT327712:ACT327714 AMP327712:AMP327714 AWL327712:AWL327714 BGH327712:BGH327714 BQD327712:BQD327714 BZZ327712:BZZ327714 CJV327712:CJV327714 CTR327712:CTR327714 DDN327712:DDN327714 DNJ327712:DNJ327714 DXF327712:DXF327714 EHB327712:EHB327714 EQX327712:EQX327714 FAT327712:FAT327714 FKP327712:FKP327714 FUL327712:FUL327714 GEH327712:GEH327714 GOD327712:GOD327714 GXZ327712:GXZ327714 HHV327712:HHV327714 HRR327712:HRR327714 IBN327712:IBN327714 ILJ327712:ILJ327714 IVF327712:IVF327714 JFB327712:JFB327714 JOX327712:JOX327714 JYT327712:JYT327714 KIP327712:KIP327714 KSL327712:KSL327714 LCH327712:LCH327714 LMD327712:LMD327714 LVZ327712:LVZ327714 MFV327712:MFV327714 MPR327712:MPR327714 MZN327712:MZN327714 NJJ327712:NJJ327714 NTF327712:NTF327714 ODB327712:ODB327714 OMX327712:OMX327714 OWT327712:OWT327714 PGP327712:PGP327714 PQL327712:PQL327714 QAH327712:QAH327714 QKD327712:QKD327714 QTZ327712:QTZ327714 RDV327712:RDV327714 RNR327712:RNR327714 RXN327712:RXN327714 SHJ327712:SHJ327714 SRF327712:SRF327714 TBB327712:TBB327714 TKX327712:TKX327714 TUT327712:TUT327714 UEP327712:UEP327714 UOL327712:UOL327714 UYH327712:UYH327714 VID327712:VID327714 VRZ327712:VRZ327714 WBV327712:WBV327714 WLR327712:WLR327714 WVN327712:WVN327714 F393248:F393250 JB393248:JB393250 SX393248:SX393250 ACT393248:ACT393250 AMP393248:AMP393250 AWL393248:AWL393250 BGH393248:BGH393250 BQD393248:BQD393250 BZZ393248:BZZ393250 CJV393248:CJV393250 CTR393248:CTR393250 DDN393248:DDN393250 DNJ393248:DNJ393250 DXF393248:DXF393250 EHB393248:EHB393250 EQX393248:EQX393250 FAT393248:FAT393250 FKP393248:FKP393250 FUL393248:FUL393250 GEH393248:GEH393250 GOD393248:GOD393250 GXZ393248:GXZ393250 HHV393248:HHV393250 HRR393248:HRR393250 IBN393248:IBN393250 ILJ393248:ILJ393250 IVF393248:IVF393250 JFB393248:JFB393250 JOX393248:JOX393250 JYT393248:JYT393250 KIP393248:KIP393250 KSL393248:KSL393250 LCH393248:LCH393250 LMD393248:LMD393250 LVZ393248:LVZ393250 MFV393248:MFV393250 MPR393248:MPR393250 MZN393248:MZN393250 NJJ393248:NJJ393250 NTF393248:NTF393250 ODB393248:ODB393250 OMX393248:OMX393250 OWT393248:OWT393250 PGP393248:PGP393250 PQL393248:PQL393250 QAH393248:QAH393250 QKD393248:QKD393250 QTZ393248:QTZ393250 RDV393248:RDV393250 RNR393248:RNR393250 RXN393248:RXN393250 SHJ393248:SHJ393250 SRF393248:SRF393250 TBB393248:TBB393250 TKX393248:TKX393250 TUT393248:TUT393250 UEP393248:UEP393250 UOL393248:UOL393250 UYH393248:UYH393250 VID393248:VID393250 VRZ393248:VRZ393250 WBV393248:WBV393250 WLR393248:WLR393250 WVN393248:WVN393250 F458784:F458786 JB458784:JB458786 SX458784:SX458786 ACT458784:ACT458786 AMP458784:AMP458786 AWL458784:AWL458786 BGH458784:BGH458786 BQD458784:BQD458786 BZZ458784:BZZ458786 CJV458784:CJV458786 CTR458784:CTR458786 DDN458784:DDN458786 DNJ458784:DNJ458786 DXF458784:DXF458786 EHB458784:EHB458786 EQX458784:EQX458786 FAT458784:FAT458786 FKP458784:FKP458786 FUL458784:FUL458786 GEH458784:GEH458786 GOD458784:GOD458786 GXZ458784:GXZ458786 HHV458784:HHV458786 HRR458784:HRR458786 IBN458784:IBN458786 ILJ458784:ILJ458786 IVF458784:IVF458786 JFB458784:JFB458786 JOX458784:JOX458786 JYT458784:JYT458786 KIP458784:KIP458786 KSL458784:KSL458786 LCH458784:LCH458786 LMD458784:LMD458786 LVZ458784:LVZ458786 MFV458784:MFV458786 MPR458784:MPR458786 MZN458784:MZN458786 NJJ458784:NJJ458786 NTF458784:NTF458786 ODB458784:ODB458786 OMX458784:OMX458786 OWT458784:OWT458786 PGP458784:PGP458786 PQL458784:PQL458786 QAH458784:QAH458786 QKD458784:QKD458786 QTZ458784:QTZ458786 RDV458784:RDV458786 RNR458784:RNR458786 RXN458784:RXN458786 SHJ458784:SHJ458786 SRF458784:SRF458786 TBB458784:TBB458786 TKX458784:TKX458786 TUT458784:TUT458786 UEP458784:UEP458786 UOL458784:UOL458786 UYH458784:UYH458786 VID458784:VID458786 VRZ458784:VRZ458786 WBV458784:WBV458786 WLR458784:WLR458786 WVN458784:WVN458786 F524320:F524322 JB524320:JB524322 SX524320:SX524322 ACT524320:ACT524322 AMP524320:AMP524322 AWL524320:AWL524322 BGH524320:BGH524322 BQD524320:BQD524322 BZZ524320:BZZ524322 CJV524320:CJV524322 CTR524320:CTR524322 DDN524320:DDN524322 DNJ524320:DNJ524322 DXF524320:DXF524322 EHB524320:EHB524322 EQX524320:EQX524322 FAT524320:FAT524322 FKP524320:FKP524322 FUL524320:FUL524322 GEH524320:GEH524322 GOD524320:GOD524322 GXZ524320:GXZ524322 HHV524320:HHV524322 HRR524320:HRR524322 IBN524320:IBN524322 ILJ524320:ILJ524322 IVF524320:IVF524322 JFB524320:JFB524322 JOX524320:JOX524322 JYT524320:JYT524322 KIP524320:KIP524322 KSL524320:KSL524322 LCH524320:LCH524322 LMD524320:LMD524322 LVZ524320:LVZ524322 MFV524320:MFV524322 MPR524320:MPR524322 MZN524320:MZN524322 NJJ524320:NJJ524322 NTF524320:NTF524322 ODB524320:ODB524322 OMX524320:OMX524322 OWT524320:OWT524322 PGP524320:PGP524322 PQL524320:PQL524322 QAH524320:QAH524322 QKD524320:QKD524322 QTZ524320:QTZ524322 RDV524320:RDV524322 RNR524320:RNR524322 RXN524320:RXN524322 SHJ524320:SHJ524322 SRF524320:SRF524322 TBB524320:TBB524322 TKX524320:TKX524322 TUT524320:TUT524322 UEP524320:UEP524322 UOL524320:UOL524322 UYH524320:UYH524322 VID524320:VID524322 VRZ524320:VRZ524322 WBV524320:WBV524322 WLR524320:WLR524322 WVN524320:WVN524322 F589856:F589858 JB589856:JB589858 SX589856:SX589858 ACT589856:ACT589858 AMP589856:AMP589858 AWL589856:AWL589858 BGH589856:BGH589858 BQD589856:BQD589858 BZZ589856:BZZ589858 CJV589856:CJV589858 CTR589856:CTR589858 DDN589856:DDN589858 DNJ589856:DNJ589858 DXF589856:DXF589858 EHB589856:EHB589858 EQX589856:EQX589858 FAT589856:FAT589858 FKP589856:FKP589858 FUL589856:FUL589858 GEH589856:GEH589858 GOD589856:GOD589858 GXZ589856:GXZ589858 HHV589856:HHV589858 HRR589856:HRR589858 IBN589856:IBN589858 ILJ589856:ILJ589858 IVF589856:IVF589858 JFB589856:JFB589858 JOX589856:JOX589858 JYT589856:JYT589858 KIP589856:KIP589858 KSL589856:KSL589858 LCH589856:LCH589858 LMD589856:LMD589858 LVZ589856:LVZ589858 MFV589856:MFV589858 MPR589856:MPR589858 MZN589856:MZN589858 NJJ589856:NJJ589858 NTF589856:NTF589858 ODB589856:ODB589858 OMX589856:OMX589858 OWT589856:OWT589858 PGP589856:PGP589858 PQL589856:PQL589858 QAH589856:QAH589858 QKD589856:QKD589858 QTZ589856:QTZ589858 RDV589856:RDV589858 RNR589856:RNR589858 RXN589856:RXN589858 SHJ589856:SHJ589858 SRF589856:SRF589858 TBB589856:TBB589858 TKX589856:TKX589858 TUT589856:TUT589858 UEP589856:UEP589858 UOL589856:UOL589858 UYH589856:UYH589858 VID589856:VID589858 VRZ589856:VRZ589858 WBV589856:WBV589858 WLR589856:WLR589858 WVN589856:WVN589858 F655392:F655394 JB655392:JB655394 SX655392:SX655394 ACT655392:ACT655394 AMP655392:AMP655394 AWL655392:AWL655394 BGH655392:BGH655394 BQD655392:BQD655394 BZZ655392:BZZ655394 CJV655392:CJV655394 CTR655392:CTR655394 DDN655392:DDN655394 DNJ655392:DNJ655394 DXF655392:DXF655394 EHB655392:EHB655394 EQX655392:EQX655394 FAT655392:FAT655394 FKP655392:FKP655394 FUL655392:FUL655394 GEH655392:GEH655394 GOD655392:GOD655394 GXZ655392:GXZ655394 HHV655392:HHV655394 HRR655392:HRR655394 IBN655392:IBN655394 ILJ655392:ILJ655394 IVF655392:IVF655394 JFB655392:JFB655394 JOX655392:JOX655394 JYT655392:JYT655394 KIP655392:KIP655394 KSL655392:KSL655394 LCH655392:LCH655394 LMD655392:LMD655394 LVZ655392:LVZ655394 MFV655392:MFV655394 MPR655392:MPR655394 MZN655392:MZN655394 NJJ655392:NJJ655394 NTF655392:NTF655394 ODB655392:ODB655394 OMX655392:OMX655394 OWT655392:OWT655394 PGP655392:PGP655394 PQL655392:PQL655394 QAH655392:QAH655394 QKD655392:QKD655394 QTZ655392:QTZ655394 RDV655392:RDV655394 RNR655392:RNR655394 RXN655392:RXN655394 SHJ655392:SHJ655394 SRF655392:SRF655394 TBB655392:TBB655394 TKX655392:TKX655394 TUT655392:TUT655394 UEP655392:UEP655394 UOL655392:UOL655394 UYH655392:UYH655394 VID655392:VID655394 VRZ655392:VRZ655394 WBV655392:WBV655394 WLR655392:WLR655394 WVN655392:WVN655394 F720928:F720930 JB720928:JB720930 SX720928:SX720930 ACT720928:ACT720930 AMP720928:AMP720930 AWL720928:AWL720930 BGH720928:BGH720930 BQD720928:BQD720930 BZZ720928:BZZ720930 CJV720928:CJV720930 CTR720928:CTR720930 DDN720928:DDN720930 DNJ720928:DNJ720930 DXF720928:DXF720930 EHB720928:EHB720930 EQX720928:EQX720930 FAT720928:FAT720930 FKP720928:FKP720930 FUL720928:FUL720930 GEH720928:GEH720930 GOD720928:GOD720930 GXZ720928:GXZ720930 HHV720928:HHV720930 HRR720928:HRR720930 IBN720928:IBN720930 ILJ720928:ILJ720930 IVF720928:IVF720930 JFB720928:JFB720930 JOX720928:JOX720930 JYT720928:JYT720930 KIP720928:KIP720930 KSL720928:KSL720930 LCH720928:LCH720930 LMD720928:LMD720930 LVZ720928:LVZ720930 MFV720928:MFV720930 MPR720928:MPR720930 MZN720928:MZN720930 NJJ720928:NJJ720930 NTF720928:NTF720930 ODB720928:ODB720930 OMX720928:OMX720930 OWT720928:OWT720930 PGP720928:PGP720930 PQL720928:PQL720930 QAH720928:QAH720930 QKD720928:QKD720930 QTZ720928:QTZ720930 RDV720928:RDV720930 RNR720928:RNR720930 RXN720928:RXN720930 SHJ720928:SHJ720930 SRF720928:SRF720930 TBB720928:TBB720930 TKX720928:TKX720930 TUT720928:TUT720930 UEP720928:UEP720930 UOL720928:UOL720930 UYH720928:UYH720930 VID720928:VID720930 VRZ720928:VRZ720930 WBV720928:WBV720930 WLR720928:WLR720930 WVN720928:WVN720930 F786464:F786466 JB786464:JB786466 SX786464:SX786466 ACT786464:ACT786466 AMP786464:AMP786466 AWL786464:AWL786466 BGH786464:BGH786466 BQD786464:BQD786466 BZZ786464:BZZ786466 CJV786464:CJV786466 CTR786464:CTR786466 DDN786464:DDN786466 DNJ786464:DNJ786466 DXF786464:DXF786466 EHB786464:EHB786466 EQX786464:EQX786466 FAT786464:FAT786466 FKP786464:FKP786466 FUL786464:FUL786466 GEH786464:GEH786466 GOD786464:GOD786466 GXZ786464:GXZ786466 HHV786464:HHV786466 HRR786464:HRR786466 IBN786464:IBN786466 ILJ786464:ILJ786466 IVF786464:IVF786466 JFB786464:JFB786466 JOX786464:JOX786466 JYT786464:JYT786466 KIP786464:KIP786466 KSL786464:KSL786466 LCH786464:LCH786466 LMD786464:LMD786466 LVZ786464:LVZ786466 MFV786464:MFV786466 MPR786464:MPR786466 MZN786464:MZN786466 NJJ786464:NJJ786466 NTF786464:NTF786466 ODB786464:ODB786466 OMX786464:OMX786466 OWT786464:OWT786466 PGP786464:PGP786466 PQL786464:PQL786466 QAH786464:QAH786466 QKD786464:QKD786466 QTZ786464:QTZ786466 RDV786464:RDV786466 RNR786464:RNR786466 RXN786464:RXN786466 SHJ786464:SHJ786466 SRF786464:SRF786466 TBB786464:TBB786466 TKX786464:TKX786466 TUT786464:TUT786466 UEP786464:UEP786466 UOL786464:UOL786466 UYH786464:UYH786466 VID786464:VID786466 VRZ786464:VRZ786466 WBV786464:WBV786466 WLR786464:WLR786466 WVN786464:WVN786466 F852000:F852002 JB852000:JB852002 SX852000:SX852002 ACT852000:ACT852002 AMP852000:AMP852002 AWL852000:AWL852002 BGH852000:BGH852002 BQD852000:BQD852002 BZZ852000:BZZ852002 CJV852000:CJV852002 CTR852000:CTR852002 DDN852000:DDN852002 DNJ852000:DNJ852002 DXF852000:DXF852002 EHB852000:EHB852002 EQX852000:EQX852002 FAT852000:FAT852002 FKP852000:FKP852002 FUL852000:FUL852002 GEH852000:GEH852002 GOD852000:GOD852002 GXZ852000:GXZ852002 HHV852000:HHV852002 HRR852000:HRR852002 IBN852000:IBN852002 ILJ852000:ILJ852002 IVF852000:IVF852002 JFB852000:JFB852002 JOX852000:JOX852002 JYT852000:JYT852002 KIP852000:KIP852002 KSL852000:KSL852002 LCH852000:LCH852002 LMD852000:LMD852002 LVZ852000:LVZ852002 MFV852000:MFV852002 MPR852000:MPR852002 MZN852000:MZN852002 NJJ852000:NJJ852002 NTF852000:NTF852002 ODB852000:ODB852002 OMX852000:OMX852002 OWT852000:OWT852002 PGP852000:PGP852002 PQL852000:PQL852002 QAH852000:QAH852002 QKD852000:QKD852002 QTZ852000:QTZ852002 RDV852000:RDV852002 RNR852000:RNR852002 RXN852000:RXN852002 SHJ852000:SHJ852002 SRF852000:SRF852002 TBB852000:TBB852002 TKX852000:TKX852002 TUT852000:TUT852002 UEP852000:UEP852002 UOL852000:UOL852002 UYH852000:UYH852002 VID852000:VID852002 VRZ852000:VRZ852002 WBV852000:WBV852002 WLR852000:WLR852002 WVN852000:WVN852002 F917536:F917538 JB917536:JB917538 SX917536:SX917538 ACT917536:ACT917538 AMP917536:AMP917538 AWL917536:AWL917538 BGH917536:BGH917538 BQD917536:BQD917538 BZZ917536:BZZ917538 CJV917536:CJV917538 CTR917536:CTR917538 DDN917536:DDN917538 DNJ917536:DNJ917538 DXF917536:DXF917538 EHB917536:EHB917538 EQX917536:EQX917538 FAT917536:FAT917538 FKP917536:FKP917538 FUL917536:FUL917538 GEH917536:GEH917538 GOD917536:GOD917538 GXZ917536:GXZ917538 HHV917536:HHV917538 HRR917536:HRR917538 IBN917536:IBN917538 ILJ917536:ILJ917538 IVF917536:IVF917538 JFB917536:JFB917538 JOX917536:JOX917538 JYT917536:JYT917538 KIP917536:KIP917538 KSL917536:KSL917538 LCH917536:LCH917538 LMD917536:LMD917538 LVZ917536:LVZ917538 MFV917536:MFV917538 MPR917536:MPR917538 MZN917536:MZN917538 NJJ917536:NJJ917538 NTF917536:NTF917538 ODB917536:ODB917538 OMX917536:OMX917538 OWT917536:OWT917538 PGP917536:PGP917538 PQL917536:PQL917538 QAH917536:QAH917538 QKD917536:QKD917538 QTZ917536:QTZ917538 RDV917536:RDV917538 RNR917536:RNR917538 RXN917536:RXN917538 SHJ917536:SHJ917538 SRF917536:SRF917538 TBB917536:TBB917538 TKX917536:TKX917538 TUT917536:TUT917538 UEP917536:UEP917538 UOL917536:UOL917538 UYH917536:UYH917538 VID917536:VID917538 VRZ917536:VRZ917538 WBV917536:WBV917538 WLR917536:WLR917538 WVN917536:WVN917538 F983072:F983074 JB983072:JB983074 SX983072:SX983074 ACT983072:ACT983074 AMP983072:AMP983074 AWL983072:AWL983074 BGH983072:BGH983074 BQD983072:BQD983074 BZZ983072:BZZ983074 CJV983072:CJV983074 CTR983072:CTR983074 DDN983072:DDN983074 DNJ983072:DNJ983074 DXF983072:DXF983074 EHB983072:EHB983074 EQX983072:EQX983074 FAT983072:FAT983074 FKP983072:FKP983074 FUL983072:FUL983074 GEH983072:GEH983074 GOD983072:GOD983074 GXZ983072:GXZ983074 HHV983072:HHV983074 HRR983072:HRR983074 IBN983072:IBN983074 ILJ983072:ILJ983074 IVF983072:IVF983074 JFB983072:JFB983074 JOX983072:JOX983074 JYT983072:JYT983074 KIP983072:KIP983074 KSL983072:KSL983074 LCH983072:LCH983074 LMD983072:LMD983074 LVZ983072:LVZ983074 MFV983072:MFV983074 MPR983072:MPR983074 MZN983072:MZN983074 NJJ983072:NJJ983074 NTF983072:NTF983074 ODB983072:ODB983074 OMX983072:OMX983074 OWT983072:OWT983074 PGP983072:PGP983074 PQL983072:PQL983074 QAH983072:QAH983074 QKD983072:QKD983074 QTZ983072:QTZ983074 RDV983072:RDV983074 RNR983072:RNR983074 RXN983072:RXN983074 SHJ983072:SHJ983074 SRF983072:SRF983074 TBB983072:TBB983074 TKX983072:TKX983074 TUT983072:TUT983074 UEP983072:UEP983074 UOL983072:UOL983074 UYH983072:UYH983074 VID983072:VID983074 VRZ983072:VRZ983074 WBV983072:WBV983074 WLR983072:WLR983074 WVN983072:WVN983074" xr:uid="{D1B0549B-0CAB-4E5B-8DB2-2072834E2C90}"/>
    <dataValidation type="list" allowBlank="1" showInputMessage="1" showErrorMessage="1" sqref="WVT983062:WVX983062 JH22:JL22 TD22:TH22 ACZ22:ADD22 AMV22:AMZ22 AWR22:AWV22 BGN22:BGR22 BQJ22:BQN22 CAF22:CAJ22 CKB22:CKF22 CTX22:CUB22 DDT22:DDX22 DNP22:DNT22 DXL22:DXP22 EHH22:EHL22 ERD22:ERH22 FAZ22:FBD22 FKV22:FKZ22 FUR22:FUV22 GEN22:GER22 GOJ22:GON22 GYF22:GYJ22 HIB22:HIF22 HRX22:HSB22 IBT22:IBX22 ILP22:ILT22 IVL22:IVP22 JFH22:JFL22 JPD22:JPH22 JYZ22:JZD22 KIV22:KIZ22 KSR22:KSV22 LCN22:LCR22 LMJ22:LMN22 LWF22:LWJ22 MGB22:MGF22 MPX22:MQB22 MZT22:MZX22 NJP22:NJT22 NTL22:NTP22 ODH22:ODL22 OND22:ONH22 OWZ22:OXD22 PGV22:PGZ22 PQR22:PQV22 QAN22:QAR22 QKJ22:QKN22 QUF22:QUJ22 REB22:REF22 RNX22:ROB22 RXT22:RXX22 SHP22:SHT22 SRL22:SRP22 TBH22:TBL22 TLD22:TLH22 TUZ22:TVD22 UEV22:UEZ22 UOR22:UOV22 UYN22:UYR22 VIJ22:VIN22 VSF22:VSJ22 WCB22:WCF22 WLX22:WMB22 WVT22:WVX22 L65558:P65558 JH65558:JL65558 TD65558:TH65558 ACZ65558:ADD65558 AMV65558:AMZ65558 AWR65558:AWV65558 BGN65558:BGR65558 BQJ65558:BQN65558 CAF65558:CAJ65558 CKB65558:CKF65558 CTX65558:CUB65558 DDT65558:DDX65558 DNP65558:DNT65558 DXL65558:DXP65558 EHH65558:EHL65558 ERD65558:ERH65558 FAZ65558:FBD65558 FKV65558:FKZ65558 FUR65558:FUV65558 GEN65558:GER65558 GOJ65558:GON65558 GYF65558:GYJ65558 HIB65558:HIF65558 HRX65558:HSB65558 IBT65558:IBX65558 ILP65558:ILT65558 IVL65558:IVP65558 JFH65558:JFL65558 JPD65558:JPH65558 JYZ65558:JZD65558 KIV65558:KIZ65558 KSR65558:KSV65558 LCN65558:LCR65558 LMJ65558:LMN65558 LWF65558:LWJ65558 MGB65558:MGF65558 MPX65558:MQB65558 MZT65558:MZX65558 NJP65558:NJT65558 NTL65558:NTP65558 ODH65558:ODL65558 OND65558:ONH65558 OWZ65558:OXD65558 PGV65558:PGZ65558 PQR65558:PQV65558 QAN65558:QAR65558 QKJ65558:QKN65558 QUF65558:QUJ65558 REB65558:REF65558 RNX65558:ROB65558 RXT65558:RXX65558 SHP65558:SHT65558 SRL65558:SRP65558 TBH65558:TBL65558 TLD65558:TLH65558 TUZ65558:TVD65558 UEV65558:UEZ65558 UOR65558:UOV65558 UYN65558:UYR65558 VIJ65558:VIN65558 VSF65558:VSJ65558 WCB65558:WCF65558 WLX65558:WMB65558 WVT65558:WVX65558 L131094:P131094 JH131094:JL131094 TD131094:TH131094 ACZ131094:ADD131094 AMV131094:AMZ131094 AWR131094:AWV131094 BGN131094:BGR131094 BQJ131094:BQN131094 CAF131094:CAJ131094 CKB131094:CKF131094 CTX131094:CUB131094 DDT131094:DDX131094 DNP131094:DNT131094 DXL131094:DXP131094 EHH131094:EHL131094 ERD131094:ERH131094 FAZ131094:FBD131094 FKV131094:FKZ131094 FUR131094:FUV131094 GEN131094:GER131094 GOJ131094:GON131094 GYF131094:GYJ131094 HIB131094:HIF131094 HRX131094:HSB131094 IBT131094:IBX131094 ILP131094:ILT131094 IVL131094:IVP131094 JFH131094:JFL131094 JPD131094:JPH131094 JYZ131094:JZD131094 KIV131094:KIZ131094 KSR131094:KSV131094 LCN131094:LCR131094 LMJ131094:LMN131094 LWF131094:LWJ131094 MGB131094:MGF131094 MPX131094:MQB131094 MZT131094:MZX131094 NJP131094:NJT131094 NTL131094:NTP131094 ODH131094:ODL131094 OND131094:ONH131094 OWZ131094:OXD131094 PGV131094:PGZ131094 PQR131094:PQV131094 QAN131094:QAR131094 QKJ131094:QKN131094 QUF131094:QUJ131094 REB131094:REF131094 RNX131094:ROB131094 RXT131094:RXX131094 SHP131094:SHT131094 SRL131094:SRP131094 TBH131094:TBL131094 TLD131094:TLH131094 TUZ131094:TVD131094 UEV131094:UEZ131094 UOR131094:UOV131094 UYN131094:UYR131094 VIJ131094:VIN131094 VSF131094:VSJ131094 WCB131094:WCF131094 WLX131094:WMB131094 WVT131094:WVX131094 L196630:P196630 JH196630:JL196630 TD196630:TH196630 ACZ196630:ADD196630 AMV196630:AMZ196630 AWR196630:AWV196630 BGN196630:BGR196630 BQJ196630:BQN196630 CAF196630:CAJ196630 CKB196630:CKF196630 CTX196630:CUB196630 DDT196630:DDX196630 DNP196630:DNT196630 DXL196630:DXP196630 EHH196630:EHL196630 ERD196630:ERH196630 FAZ196630:FBD196630 FKV196630:FKZ196630 FUR196630:FUV196630 GEN196630:GER196630 GOJ196630:GON196630 GYF196630:GYJ196630 HIB196630:HIF196630 HRX196630:HSB196630 IBT196630:IBX196630 ILP196630:ILT196630 IVL196630:IVP196630 JFH196630:JFL196630 JPD196630:JPH196630 JYZ196630:JZD196630 KIV196630:KIZ196630 KSR196630:KSV196630 LCN196630:LCR196630 LMJ196630:LMN196630 LWF196630:LWJ196630 MGB196630:MGF196630 MPX196630:MQB196630 MZT196630:MZX196630 NJP196630:NJT196630 NTL196630:NTP196630 ODH196630:ODL196630 OND196630:ONH196630 OWZ196630:OXD196630 PGV196630:PGZ196630 PQR196630:PQV196630 QAN196630:QAR196630 QKJ196630:QKN196630 QUF196630:QUJ196630 REB196630:REF196630 RNX196630:ROB196630 RXT196630:RXX196630 SHP196630:SHT196630 SRL196630:SRP196630 TBH196630:TBL196630 TLD196630:TLH196630 TUZ196630:TVD196630 UEV196630:UEZ196630 UOR196630:UOV196630 UYN196630:UYR196630 VIJ196630:VIN196630 VSF196630:VSJ196630 WCB196630:WCF196630 WLX196630:WMB196630 WVT196630:WVX196630 L262166:P262166 JH262166:JL262166 TD262166:TH262166 ACZ262166:ADD262166 AMV262166:AMZ262166 AWR262166:AWV262166 BGN262166:BGR262166 BQJ262166:BQN262166 CAF262166:CAJ262166 CKB262166:CKF262166 CTX262166:CUB262166 DDT262166:DDX262166 DNP262166:DNT262166 DXL262166:DXP262166 EHH262166:EHL262166 ERD262166:ERH262166 FAZ262166:FBD262166 FKV262166:FKZ262166 FUR262166:FUV262166 GEN262166:GER262166 GOJ262166:GON262166 GYF262166:GYJ262166 HIB262166:HIF262166 HRX262166:HSB262166 IBT262166:IBX262166 ILP262166:ILT262166 IVL262166:IVP262166 JFH262166:JFL262166 JPD262166:JPH262166 JYZ262166:JZD262166 KIV262166:KIZ262166 KSR262166:KSV262166 LCN262166:LCR262166 LMJ262166:LMN262166 LWF262166:LWJ262166 MGB262166:MGF262166 MPX262166:MQB262166 MZT262166:MZX262166 NJP262166:NJT262166 NTL262166:NTP262166 ODH262166:ODL262166 OND262166:ONH262166 OWZ262166:OXD262166 PGV262166:PGZ262166 PQR262166:PQV262166 QAN262166:QAR262166 QKJ262166:QKN262166 QUF262166:QUJ262166 REB262166:REF262166 RNX262166:ROB262166 RXT262166:RXX262166 SHP262166:SHT262166 SRL262166:SRP262166 TBH262166:TBL262166 TLD262166:TLH262166 TUZ262166:TVD262166 UEV262166:UEZ262166 UOR262166:UOV262166 UYN262166:UYR262166 VIJ262166:VIN262166 VSF262166:VSJ262166 WCB262166:WCF262166 WLX262166:WMB262166 WVT262166:WVX262166 L327702:P327702 JH327702:JL327702 TD327702:TH327702 ACZ327702:ADD327702 AMV327702:AMZ327702 AWR327702:AWV327702 BGN327702:BGR327702 BQJ327702:BQN327702 CAF327702:CAJ327702 CKB327702:CKF327702 CTX327702:CUB327702 DDT327702:DDX327702 DNP327702:DNT327702 DXL327702:DXP327702 EHH327702:EHL327702 ERD327702:ERH327702 FAZ327702:FBD327702 FKV327702:FKZ327702 FUR327702:FUV327702 GEN327702:GER327702 GOJ327702:GON327702 GYF327702:GYJ327702 HIB327702:HIF327702 HRX327702:HSB327702 IBT327702:IBX327702 ILP327702:ILT327702 IVL327702:IVP327702 JFH327702:JFL327702 JPD327702:JPH327702 JYZ327702:JZD327702 KIV327702:KIZ327702 KSR327702:KSV327702 LCN327702:LCR327702 LMJ327702:LMN327702 LWF327702:LWJ327702 MGB327702:MGF327702 MPX327702:MQB327702 MZT327702:MZX327702 NJP327702:NJT327702 NTL327702:NTP327702 ODH327702:ODL327702 OND327702:ONH327702 OWZ327702:OXD327702 PGV327702:PGZ327702 PQR327702:PQV327702 QAN327702:QAR327702 QKJ327702:QKN327702 QUF327702:QUJ327702 REB327702:REF327702 RNX327702:ROB327702 RXT327702:RXX327702 SHP327702:SHT327702 SRL327702:SRP327702 TBH327702:TBL327702 TLD327702:TLH327702 TUZ327702:TVD327702 UEV327702:UEZ327702 UOR327702:UOV327702 UYN327702:UYR327702 VIJ327702:VIN327702 VSF327702:VSJ327702 WCB327702:WCF327702 WLX327702:WMB327702 WVT327702:WVX327702 L393238:P393238 JH393238:JL393238 TD393238:TH393238 ACZ393238:ADD393238 AMV393238:AMZ393238 AWR393238:AWV393238 BGN393238:BGR393238 BQJ393238:BQN393238 CAF393238:CAJ393238 CKB393238:CKF393238 CTX393238:CUB393238 DDT393238:DDX393238 DNP393238:DNT393238 DXL393238:DXP393238 EHH393238:EHL393238 ERD393238:ERH393238 FAZ393238:FBD393238 FKV393238:FKZ393238 FUR393238:FUV393238 GEN393238:GER393238 GOJ393238:GON393238 GYF393238:GYJ393238 HIB393238:HIF393238 HRX393238:HSB393238 IBT393238:IBX393238 ILP393238:ILT393238 IVL393238:IVP393238 JFH393238:JFL393238 JPD393238:JPH393238 JYZ393238:JZD393238 KIV393238:KIZ393238 KSR393238:KSV393238 LCN393238:LCR393238 LMJ393238:LMN393238 LWF393238:LWJ393238 MGB393238:MGF393238 MPX393238:MQB393238 MZT393238:MZX393238 NJP393238:NJT393238 NTL393238:NTP393238 ODH393238:ODL393238 OND393238:ONH393238 OWZ393238:OXD393238 PGV393238:PGZ393238 PQR393238:PQV393238 QAN393238:QAR393238 QKJ393238:QKN393238 QUF393238:QUJ393238 REB393238:REF393238 RNX393238:ROB393238 RXT393238:RXX393238 SHP393238:SHT393238 SRL393238:SRP393238 TBH393238:TBL393238 TLD393238:TLH393238 TUZ393238:TVD393238 UEV393238:UEZ393238 UOR393238:UOV393238 UYN393238:UYR393238 VIJ393238:VIN393238 VSF393238:VSJ393238 WCB393238:WCF393238 WLX393238:WMB393238 WVT393238:WVX393238 L458774:P458774 JH458774:JL458774 TD458774:TH458774 ACZ458774:ADD458774 AMV458774:AMZ458774 AWR458774:AWV458774 BGN458774:BGR458774 BQJ458774:BQN458774 CAF458774:CAJ458774 CKB458774:CKF458774 CTX458774:CUB458774 DDT458774:DDX458774 DNP458774:DNT458774 DXL458774:DXP458774 EHH458774:EHL458774 ERD458774:ERH458774 FAZ458774:FBD458774 FKV458774:FKZ458774 FUR458774:FUV458774 GEN458774:GER458774 GOJ458774:GON458774 GYF458774:GYJ458774 HIB458774:HIF458774 HRX458774:HSB458774 IBT458774:IBX458774 ILP458774:ILT458774 IVL458774:IVP458774 JFH458774:JFL458774 JPD458774:JPH458774 JYZ458774:JZD458774 KIV458774:KIZ458774 KSR458774:KSV458774 LCN458774:LCR458774 LMJ458774:LMN458774 LWF458774:LWJ458774 MGB458774:MGF458774 MPX458774:MQB458774 MZT458774:MZX458774 NJP458774:NJT458774 NTL458774:NTP458774 ODH458774:ODL458774 OND458774:ONH458774 OWZ458774:OXD458774 PGV458774:PGZ458774 PQR458774:PQV458774 QAN458774:QAR458774 QKJ458774:QKN458774 QUF458774:QUJ458774 REB458774:REF458774 RNX458774:ROB458774 RXT458774:RXX458774 SHP458774:SHT458774 SRL458774:SRP458774 TBH458774:TBL458774 TLD458774:TLH458774 TUZ458774:TVD458774 UEV458774:UEZ458774 UOR458774:UOV458774 UYN458774:UYR458774 VIJ458774:VIN458774 VSF458774:VSJ458774 WCB458774:WCF458774 WLX458774:WMB458774 WVT458774:WVX458774 L524310:P524310 JH524310:JL524310 TD524310:TH524310 ACZ524310:ADD524310 AMV524310:AMZ524310 AWR524310:AWV524310 BGN524310:BGR524310 BQJ524310:BQN524310 CAF524310:CAJ524310 CKB524310:CKF524310 CTX524310:CUB524310 DDT524310:DDX524310 DNP524310:DNT524310 DXL524310:DXP524310 EHH524310:EHL524310 ERD524310:ERH524310 FAZ524310:FBD524310 FKV524310:FKZ524310 FUR524310:FUV524310 GEN524310:GER524310 GOJ524310:GON524310 GYF524310:GYJ524310 HIB524310:HIF524310 HRX524310:HSB524310 IBT524310:IBX524310 ILP524310:ILT524310 IVL524310:IVP524310 JFH524310:JFL524310 JPD524310:JPH524310 JYZ524310:JZD524310 KIV524310:KIZ524310 KSR524310:KSV524310 LCN524310:LCR524310 LMJ524310:LMN524310 LWF524310:LWJ524310 MGB524310:MGF524310 MPX524310:MQB524310 MZT524310:MZX524310 NJP524310:NJT524310 NTL524310:NTP524310 ODH524310:ODL524310 OND524310:ONH524310 OWZ524310:OXD524310 PGV524310:PGZ524310 PQR524310:PQV524310 QAN524310:QAR524310 QKJ524310:QKN524310 QUF524310:QUJ524310 REB524310:REF524310 RNX524310:ROB524310 RXT524310:RXX524310 SHP524310:SHT524310 SRL524310:SRP524310 TBH524310:TBL524310 TLD524310:TLH524310 TUZ524310:TVD524310 UEV524310:UEZ524310 UOR524310:UOV524310 UYN524310:UYR524310 VIJ524310:VIN524310 VSF524310:VSJ524310 WCB524310:WCF524310 WLX524310:WMB524310 WVT524310:WVX524310 L589846:P589846 JH589846:JL589846 TD589846:TH589846 ACZ589846:ADD589846 AMV589846:AMZ589846 AWR589846:AWV589846 BGN589846:BGR589846 BQJ589846:BQN589846 CAF589846:CAJ589846 CKB589846:CKF589846 CTX589846:CUB589846 DDT589846:DDX589846 DNP589846:DNT589846 DXL589846:DXP589846 EHH589846:EHL589846 ERD589846:ERH589846 FAZ589846:FBD589846 FKV589846:FKZ589846 FUR589846:FUV589846 GEN589846:GER589846 GOJ589846:GON589846 GYF589846:GYJ589846 HIB589846:HIF589846 HRX589846:HSB589846 IBT589846:IBX589846 ILP589846:ILT589846 IVL589846:IVP589846 JFH589846:JFL589846 JPD589846:JPH589846 JYZ589846:JZD589846 KIV589846:KIZ589846 KSR589846:KSV589846 LCN589846:LCR589846 LMJ589846:LMN589846 LWF589846:LWJ589846 MGB589846:MGF589846 MPX589846:MQB589846 MZT589846:MZX589846 NJP589846:NJT589846 NTL589846:NTP589846 ODH589846:ODL589846 OND589846:ONH589846 OWZ589846:OXD589846 PGV589846:PGZ589846 PQR589846:PQV589846 QAN589846:QAR589846 QKJ589846:QKN589846 QUF589846:QUJ589846 REB589846:REF589846 RNX589846:ROB589846 RXT589846:RXX589846 SHP589846:SHT589846 SRL589846:SRP589846 TBH589846:TBL589846 TLD589846:TLH589846 TUZ589846:TVD589846 UEV589846:UEZ589846 UOR589846:UOV589846 UYN589846:UYR589846 VIJ589846:VIN589846 VSF589846:VSJ589846 WCB589846:WCF589846 WLX589846:WMB589846 WVT589846:WVX589846 L655382:P655382 JH655382:JL655382 TD655382:TH655382 ACZ655382:ADD655382 AMV655382:AMZ655382 AWR655382:AWV655382 BGN655382:BGR655382 BQJ655382:BQN655382 CAF655382:CAJ655382 CKB655382:CKF655382 CTX655382:CUB655382 DDT655382:DDX655382 DNP655382:DNT655382 DXL655382:DXP655382 EHH655382:EHL655382 ERD655382:ERH655382 FAZ655382:FBD655382 FKV655382:FKZ655382 FUR655382:FUV655382 GEN655382:GER655382 GOJ655382:GON655382 GYF655382:GYJ655382 HIB655382:HIF655382 HRX655382:HSB655382 IBT655382:IBX655382 ILP655382:ILT655382 IVL655382:IVP655382 JFH655382:JFL655382 JPD655382:JPH655382 JYZ655382:JZD655382 KIV655382:KIZ655382 KSR655382:KSV655382 LCN655382:LCR655382 LMJ655382:LMN655382 LWF655382:LWJ655382 MGB655382:MGF655382 MPX655382:MQB655382 MZT655382:MZX655382 NJP655382:NJT655382 NTL655382:NTP655382 ODH655382:ODL655382 OND655382:ONH655382 OWZ655382:OXD655382 PGV655382:PGZ655382 PQR655382:PQV655382 QAN655382:QAR655382 QKJ655382:QKN655382 QUF655382:QUJ655382 REB655382:REF655382 RNX655382:ROB655382 RXT655382:RXX655382 SHP655382:SHT655382 SRL655382:SRP655382 TBH655382:TBL655382 TLD655382:TLH655382 TUZ655382:TVD655382 UEV655382:UEZ655382 UOR655382:UOV655382 UYN655382:UYR655382 VIJ655382:VIN655382 VSF655382:VSJ655382 WCB655382:WCF655382 WLX655382:WMB655382 WVT655382:WVX655382 L720918:P720918 JH720918:JL720918 TD720918:TH720918 ACZ720918:ADD720918 AMV720918:AMZ720918 AWR720918:AWV720918 BGN720918:BGR720918 BQJ720918:BQN720918 CAF720918:CAJ720918 CKB720918:CKF720918 CTX720918:CUB720918 DDT720918:DDX720918 DNP720918:DNT720918 DXL720918:DXP720918 EHH720918:EHL720918 ERD720918:ERH720918 FAZ720918:FBD720918 FKV720918:FKZ720918 FUR720918:FUV720918 GEN720918:GER720918 GOJ720918:GON720918 GYF720918:GYJ720918 HIB720918:HIF720918 HRX720918:HSB720918 IBT720918:IBX720918 ILP720918:ILT720918 IVL720918:IVP720918 JFH720918:JFL720918 JPD720918:JPH720918 JYZ720918:JZD720918 KIV720918:KIZ720918 KSR720918:KSV720918 LCN720918:LCR720918 LMJ720918:LMN720918 LWF720918:LWJ720918 MGB720918:MGF720918 MPX720918:MQB720918 MZT720918:MZX720918 NJP720918:NJT720918 NTL720918:NTP720918 ODH720918:ODL720918 OND720918:ONH720918 OWZ720918:OXD720918 PGV720918:PGZ720918 PQR720918:PQV720918 QAN720918:QAR720918 QKJ720918:QKN720918 QUF720918:QUJ720918 REB720918:REF720918 RNX720918:ROB720918 RXT720918:RXX720918 SHP720918:SHT720918 SRL720918:SRP720918 TBH720918:TBL720918 TLD720918:TLH720918 TUZ720918:TVD720918 UEV720918:UEZ720918 UOR720918:UOV720918 UYN720918:UYR720918 VIJ720918:VIN720918 VSF720918:VSJ720918 WCB720918:WCF720918 WLX720918:WMB720918 WVT720918:WVX720918 L786454:P786454 JH786454:JL786454 TD786454:TH786454 ACZ786454:ADD786454 AMV786454:AMZ786454 AWR786454:AWV786454 BGN786454:BGR786454 BQJ786454:BQN786454 CAF786454:CAJ786454 CKB786454:CKF786454 CTX786454:CUB786454 DDT786454:DDX786454 DNP786454:DNT786454 DXL786454:DXP786454 EHH786454:EHL786454 ERD786454:ERH786454 FAZ786454:FBD786454 FKV786454:FKZ786454 FUR786454:FUV786454 GEN786454:GER786454 GOJ786454:GON786454 GYF786454:GYJ786454 HIB786454:HIF786454 HRX786454:HSB786454 IBT786454:IBX786454 ILP786454:ILT786454 IVL786454:IVP786454 JFH786454:JFL786454 JPD786454:JPH786454 JYZ786454:JZD786454 KIV786454:KIZ786454 KSR786454:KSV786454 LCN786454:LCR786454 LMJ786454:LMN786454 LWF786454:LWJ786454 MGB786454:MGF786454 MPX786454:MQB786454 MZT786454:MZX786454 NJP786454:NJT786454 NTL786454:NTP786454 ODH786454:ODL786454 OND786454:ONH786454 OWZ786454:OXD786454 PGV786454:PGZ786454 PQR786454:PQV786454 QAN786454:QAR786454 QKJ786454:QKN786454 QUF786454:QUJ786454 REB786454:REF786454 RNX786454:ROB786454 RXT786454:RXX786454 SHP786454:SHT786454 SRL786454:SRP786454 TBH786454:TBL786454 TLD786454:TLH786454 TUZ786454:TVD786454 UEV786454:UEZ786454 UOR786454:UOV786454 UYN786454:UYR786454 VIJ786454:VIN786454 VSF786454:VSJ786454 WCB786454:WCF786454 WLX786454:WMB786454 WVT786454:WVX786454 L851990:P851990 JH851990:JL851990 TD851990:TH851990 ACZ851990:ADD851990 AMV851990:AMZ851990 AWR851990:AWV851990 BGN851990:BGR851990 BQJ851990:BQN851990 CAF851990:CAJ851990 CKB851990:CKF851990 CTX851990:CUB851990 DDT851990:DDX851990 DNP851990:DNT851990 DXL851990:DXP851990 EHH851990:EHL851990 ERD851990:ERH851990 FAZ851990:FBD851990 FKV851990:FKZ851990 FUR851990:FUV851990 GEN851990:GER851990 GOJ851990:GON851990 GYF851990:GYJ851990 HIB851990:HIF851990 HRX851990:HSB851990 IBT851990:IBX851990 ILP851990:ILT851990 IVL851990:IVP851990 JFH851990:JFL851990 JPD851990:JPH851990 JYZ851990:JZD851990 KIV851990:KIZ851990 KSR851990:KSV851990 LCN851990:LCR851990 LMJ851990:LMN851990 LWF851990:LWJ851990 MGB851990:MGF851990 MPX851990:MQB851990 MZT851990:MZX851990 NJP851990:NJT851990 NTL851990:NTP851990 ODH851990:ODL851990 OND851990:ONH851990 OWZ851990:OXD851990 PGV851990:PGZ851990 PQR851990:PQV851990 QAN851990:QAR851990 QKJ851990:QKN851990 QUF851990:QUJ851990 REB851990:REF851990 RNX851990:ROB851990 RXT851990:RXX851990 SHP851990:SHT851990 SRL851990:SRP851990 TBH851990:TBL851990 TLD851990:TLH851990 TUZ851990:TVD851990 UEV851990:UEZ851990 UOR851990:UOV851990 UYN851990:UYR851990 VIJ851990:VIN851990 VSF851990:VSJ851990 WCB851990:WCF851990 WLX851990:WMB851990 WVT851990:WVX851990 L917526:P917526 JH917526:JL917526 TD917526:TH917526 ACZ917526:ADD917526 AMV917526:AMZ917526 AWR917526:AWV917526 BGN917526:BGR917526 BQJ917526:BQN917526 CAF917526:CAJ917526 CKB917526:CKF917526 CTX917526:CUB917526 DDT917526:DDX917526 DNP917526:DNT917526 DXL917526:DXP917526 EHH917526:EHL917526 ERD917526:ERH917526 FAZ917526:FBD917526 FKV917526:FKZ917526 FUR917526:FUV917526 GEN917526:GER917526 GOJ917526:GON917526 GYF917526:GYJ917526 HIB917526:HIF917526 HRX917526:HSB917526 IBT917526:IBX917526 ILP917526:ILT917526 IVL917526:IVP917526 JFH917526:JFL917526 JPD917526:JPH917526 JYZ917526:JZD917526 KIV917526:KIZ917526 KSR917526:KSV917526 LCN917526:LCR917526 LMJ917526:LMN917526 LWF917526:LWJ917526 MGB917526:MGF917526 MPX917526:MQB917526 MZT917526:MZX917526 NJP917526:NJT917526 NTL917526:NTP917526 ODH917526:ODL917526 OND917526:ONH917526 OWZ917526:OXD917526 PGV917526:PGZ917526 PQR917526:PQV917526 QAN917526:QAR917526 QKJ917526:QKN917526 QUF917526:QUJ917526 REB917526:REF917526 RNX917526:ROB917526 RXT917526:RXX917526 SHP917526:SHT917526 SRL917526:SRP917526 TBH917526:TBL917526 TLD917526:TLH917526 TUZ917526:TVD917526 UEV917526:UEZ917526 UOR917526:UOV917526 UYN917526:UYR917526 VIJ917526:VIN917526 VSF917526:VSJ917526 WCB917526:WCF917526 WLX917526:WMB917526 WVT917526:WVX917526 L983062:P983062 JH983062:JL983062 TD983062:TH983062 ACZ983062:ADD983062 AMV983062:AMZ983062 AWR983062:AWV983062 BGN983062:BGR983062 BQJ983062:BQN983062 CAF983062:CAJ983062 CKB983062:CKF983062 CTX983062:CUB983062 DDT983062:DDX983062 DNP983062:DNT983062 DXL983062:DXP983062 EHH983062:EHL983062 ERD983062:ERH983062 FAZ983062:FBD983062 FKV983062:FKZ983062 FUR983062:FUV983062 GEN983062:GER983062 GOJ983062:GON983062 GYF983062:GYJ983062 HIB983062:HIF983062 HRX983062:HSB983062 IBT983062:IBX983062 ILP983062:ILT983062 IVL983062:IVP983062 JFH983062:JFL983062 JPD983062:JPH983062 JYZ983062:JZD983062 KIV983062:KIZ983062 KSR983062:KSV983062 LCN983062:LCR983062 LMJ983062:LMN983062 LWF983062:LWJ983062 MGB983062:MGF983062 MPX983062:MQB983062 MZT983062:MZX983062 NJP983062:NJT983062 NTL983062:NTP983062 ODH983062:ODL983062 OND983062:ONH983062 OWZ983062:OXD983062 PGV983062:PGZ983062 PQR983062:PQV983062 QAN983062:QAR983062 QKJ983062:QKN983062 QUF983062:QUJ983062 REB983062:REF983062 RNX983062:ROB983062 RXT983062:RXX983062 SHP983062:SHT983062 SRL983062:SRP983062 TBH983062:TBL983062 TLD983062:TLH983062 TUZ983062:TVD983062 UEV983062:UEZ983062 UOR983062:UOV983062 UYN983062:UYR983062 VIJ983062:VIN983062 VSF983062:VSJ983062 WCB983062:WCF983062 WLX983062:WMB983062" xr:uid="{5233216A-2EA5-472E-BB00-D514A3A71B41}">
      <formula1>$AI$22:$AI$27</formula1>
    </dataValidation>
    <dataValidation type="list" allowBlank="1" showInputMessage="1" showErrorMessage="1" sqref="WWB983076:WWE983076 JP36:JS36 TL36:TO36 ADH36:ADK36 AND36:ANG36 AWZ36:AXC36 BGV36:BGY36 BQR36:BQU36 CAN36:CAQ36 CKJ36:CKM36 CUF36:CUI36 DEB36:DEE36 DNX36:DOA36 DXT36:DXW36 EHP36:EHS36 ERL36:ERO36 FBH36:FBK36 FLD36:FLG36 FUZ36:FVC36 GEV36:GEY36 GOR36:GOU36 GYN36:GYQ36 HIJ36:HIM36 HSF36:HSI36 ICB36:ICE36 ILX36:IMA36 IVT36:IVW36 JFP36:JFS36 JPL36:JPO36 JZH36:JZK36 KJD36:KJG36 KSZ36:KTC36 LCV36:LCY36 LMR36:LMU36 LWN36:LWQ36 MGJ36:MGM36 MQF36:MQI36 NAB36:NAE36 NJX36:NKA36 NTT36:NTW36 ODP36:ODS36 ONL36:ONO36 OXH36:OXK36 PHD36:PHG36 PQZ36:PRC36 QAV36:QAY36 QKR36:QKU36 QUN36:QUQ36 REJ36:REM36 ROF36:ROI36 RYB36:RYE36 SHX36:SIA36 SRT36:SRW36 TBP36:TBS36 TLL36:TLO36 TVH36:TVK36 UFD36:UFG36 UOZ36:UPC36 UYV36:UYY36 VIR36:VIU36 VSN36:VSQ36 WCJ36:WCM36 WMF36:WMI36 WWB36:WWE36 T65572:W65572 JP65572:JS65572 TL65572:TO65572 ADH65572:ADK65572 AND65572:ANG65572 AWZ65572:AXC65572 BGV65572:BGY65572 BQR65572:BQU65572 CAN65572:CAQ65572 CKJ65572:CKM65572 CUF65572:CUI65572 DEB65572:DEE65572 DNX65572:DOA65572 DXT65572:DXW65572 EHP65572:EHS65572 ERL65572:ERO65572 FBH65572:FBK65572 FLD65572:FLG65572 FUZ65572:FVC65572 GEV65572:GEY65572 GOR65572:GOU65572 GYN65572:GYQ65572 HIJ65572:HIM65572 HSF65572:HSI65572 ICB65572:ICE65572 ILX65572:IMA65572 IVT65572:IVW65572 JFP65572:JFS65572 JPL65572:JPO65572 JZH65572:JZK65572 KJD65572:KJG65572 KSZ65572:KTC65572 LCV65572:LCY65572 LMR65572:LMU65572 LWN65572:LWQ65572 MGJ65572:MGM65572 MQF65572:MQI65572 NAB65572:NAE65572 NJX65572:NKA65572 NTT65572:NTW65572 ODP65572:ODS65572 ONL65572:ONO65572 OXH65572:OXK65572 PHD65572:PHG65572 PQZ65572:PRC65572 QAV65572:QAY65572 QKR65572:QKU65572 QUN65572:QUQ65572 REJ65572:REM65572 ROF65572:ROI65572 RYB65572:RYE65572 SHX65572:SIA65572 SRT65572:SRW65572 TBP65572:TBS65572 TLL65572:TLO65572 TVH65572:TVK65572 UFD65572:UFG65572 UOZ65572:UPC65572 UYV65572:UYY65572 VIR65572:VIU65572 VSN65572:VSQ65572 WCJ65572:WCM65572 WMF65572:WMI65572 WWB65572:WWE65572 T131108:W131108 JP131108:JS131108 TL131108:TO131108 ADH131108:ADK131108 AND131108:ANG131108 AWZ131108:AXC131108 BGV131108:BGY131108 BQR131108:BQU131108 CAN131108:CAQ131108 CKJ131108:CKM131108 CUF131108:CUI131108 DEB131108:DEE131108 DNX131108:DOA131108 DXT131108:DXW131108 EHP131108:EHS131108 ERL131108:ERO131108 FBH131108:FBK131108 FLD131108:FLG131108 FUZ131108:FVC131108 GEV131108:GEY131108 GOR131108:GOU131108 GYN131108:GYQ131108 HIJ131108:HIM131108 HSF131108:HSI131108 ICB131108:ICE131108 ILX131108:IMA131108 IVT131108:IVW131108 JFP131108:JFS131108 JPL131108:JPO131108 JZH131108:JZK131108 KJD131108:KJG131108 KSZ131108:KTC131108 LCV131108:LCY131108 LMR131108:LMU131108 LWN131108:LWQ131108 MGJ131108:MGM131108 MQF131108:MQI131108 NAB131108:NAE131108 NJX131108:NKA131108 NTT131108:NTW131108 ODP131108:ODS131108 ONL131108:ONO131108 OXH131108:OXK131108 PHD131108:PHG131108 PQZ131108:PRC131108 QAV131108:QAY131108 QKR131108:QKU131108 QUN131108:QUQ131108 REJ131108:REM131108 ROF131108:ROI131108 RYB131108:RYE131108 SHX131108:SIA131108 SRT131108:SRW131108 TBP131108:TBS131108 TLL131108:TLO131108 TVH131108:TVK131108 UFD131108:UFG131108 UOZ131108:UPC131108 UYV131108:UYY131108 VIR131108:VIU131108 VSN131108:VSQ131108 WCJ131108:WCM131108 WMF131108:WMI131108 WWB131108:WWE131108 T196644:W196644 JP196644:JS196644 TL196644:TO196644 ADH196644:ADK196644 AND196644:ANG196644 AWZ196644:AXC196644 BGV196644:BGY196644 BQR196644:BQU196644 CAN196644:CAQ196644 CKJ196644:CKM196644 CUF196644:CUI196644 DEB196644:DEE196644 DNX196644:DOA196644 DXT196644:DXW196644 EHP196644:EHS196644 ERL196644:ERO196644 FBH196644:FBK196644 FLD196644:FLG196644 FUZ196644:FVC196644 GEV196644:GEY196644 GOR196644:GOU196644 GYN196644:GYQ196644 HIJ196644:HIM196644 HSF196644:HSI196644 ICB196644:ICE196644 ILX196644:IMA196644 IVT196644:IVW196644 JFP196644:JFS196644 JPL196644:JPO196644 JZH196644:JZK196644 KJD196644:KJG196644 KSZ196644:KTC196644 LCV196644:LCY196644 LMR196644:LMU196644 LWN196644:LWQ196644 MGJ196644:MGM196644 MQF196644:MQI196644 NAB196644:NAE196644 NJX196644:NKA196644 NTT196644:NTW196644 ODP196644:ODS196644 ONL196644:ONO196644 OXH196644:OXK196644 PHD196644:PHG196644 PQZ196644:PRC196644 QAV196644:QAY196644 QKR196644:QKU196644 QUN196644:QUQ196644 REJ196644:REM196644 ROF196644:ROI196644 RYB196644:RYE196644 SHX196644:SIA196644 SRT196644:SRW196644 TBP196644:TBS196644 TLL196644:TLO196644 TVH196644:TVK196644 UFD196644:UFG196644 UOZ196644:UPC196644 UYV196644:UYY196644 VIR196644:VIU196644 VSN196644:VSQ196644 WCJ196644:WCM196644 WMF196644:WMI196644 WWB196644:WWE196644 T262180:W262180 JP262180:JS262180 TL262180:TO262180 ADH262180:ADK262180 AND262180:ANG262180 AWZ262180:AXC262180 BGV262180:BGY262180 BQR262180:BQU262180 CAN262180:CAQ262180 CKJ262180:CKM262180 CUF262180:CUI262180 DEB262180:DEE262180 DNX262180:DOA262180 DXT262180:DXW262180 EHP262180:EHS262180 ERL262180:ERO262180 FBH262180:FBK262180 FLD262180:FLG262180 FUZ262180:FVC262180 GEV262180:GEY262180 GOR262180:GOU262180 GYN262180:GYQ262180 HIJ262180:HIM262180 HSF262180:HSI262180 ICB262180:ICE262180 ILX262180:IMA262180 IVT262180:IVW262180 JFP262180:JFS262180 JPL262180:JPO262180 JZH262180:JZK262180 KJD262180:KJG262180 KSZ262180:KTC262180 LCV262180:LCY262180 LMR262180:LMU262180 LWN262180:LWQ262180 MGJ262180:MGM262180 MQF262180:MQI262180 NAB262180:NAE262180 NJX262180:NKA262180 NTT262180:NTW262180 ODP262180:ODS262180 ONL262180:ONO262180 OXH262180:OXK262180 PHD262180:PHG262180 PQZ262180:PRC262180 QAV262180:QAY262180 QKR262180:QKU262180 QUN262180:QUQ262180 REJ262180:REM262180 ROF262180:ROI262180 RYB262180:RYE262180 SHX262180:SIA262180 SRT262180:SRW262180 TBP262180:TBS262180 TLL262180:TLO262180 TVH262180:TVK262180 UFD262180:UFG262180 UOZ262180:UPC262180 UYV262180:UYY262180 VIR262180:VIU262180 VSN262180:VSQ262180 WCJ262180:WCM262180 WMF262180:WMI262180 WWB262180:WWE262180 T327716:W327716 JP327716:JS327716 TL327716:TO327716 ADH327716:ADK327716 AND327716:ANG327716 AWZ327716:AXC327716 BGV327716:BGY327716 BQR327716:BQU327716 CAN327716:CAQ327716 CKJ327716:CKM327716 CUF327716:CUI327716 DEB327716:DEE327716 DNX327716:DOA327716 DXT327716:DXW327716 EHP327716:EHS327716 ERL327716:ERO327716 FBH327716:FBK327716 FLD327716:FLG327716 FUZ327716:FVC327716 GEV327716:GEY327716 GOR327716:GOU327716 GYN327716:GYQ327716 HIJ327716:HIM327716 HSF327716:HSI327716 ICB327716:ICE327716 ILX327716:IMA327716 IVT327716:IVW327716 JFP327716:JFS327716 JPL327716:JPO327716 JZH327716:JZK327716 KJD327716:KJG327716 KSZ327716:KTC327716 LCV327716:LCY327716 LMR327716:LMU327716 LWN327716:LWQ327716 MGJ327716:MGM327716 MQF327716:MQI327716 NAB327716:NAE327716 NJX327716:NKA327716 NTT327716:NTW327716 ODP327716:ODS327716 ONL327716:ONO327716 OXH327716:OXK327716 PHD327716:PHG327716 PQZ327716:PRC327716 QAV327716:QAY327716 QKR327716:QKU327716 QUN327716:QUQ327716 REJ327716:REM327716 ROF327716:ROI327716 RYB327716:RYE327716 SHX327716:SIA327716 SRT327716:SRW327716 TBP327716:TBS327716 TLL327716:TLO327716 TVH327716:TVK327716 UFD327716:UFG327716 UOZ327716:UPC327716 UYV327716:UYY327716 VIR327716:VIU327716 VSN327716:VSQ327716 WCJ327716:WCM327716 WMF327716:WMI327716 WWB327716:WWE327716 T393252:W393252 JP393252:JS393252 TL393252:TO393252 ADH393252:ADK393252 AND393252:ANG393252 AWZ393252:AXC393252 BGV393252:BGY393252 BQR393252:BQU393252 CAN393252:CAQ393252 CKJ393252:CKM393252 CUF393252:CUI393252 DEB393252:DEE393252 DNX393252:DOA393252 DXT393252:DXW393252 EHP393252:EHS393252 ERL393252:ERO393252 FBH393252:FBK393252 FLD393252:FLG393252 FUZ393252:FVC393252 GEV393252:GEY393252 GOR393252:GOU393252 GYN393252:GYQ393252 HIJ393252:HIM393252 HSF393252:HSI393252 ICB393252:ICE393252 ILX393252:IMA393252 IVT393252:IVW393252 JFP393252:JFS393252 JPL393252:JPO393252 JZH393252:JZK393252 KJD393252:KJG393252 KSZ393252:KTC393252 LCV393252:LCY393252 LMR393252:LMU393252 LWN393252:LWQ393252 MGJ393252:MGM393252 MQF393252:MQI393252 NAB393252:NAE393252 NJX393252:NKA393252 NTT393252:NTW393252 ODP393252:ODS393252 ONL393252:ONO393252 OXH393252:OXK393252 PHD393252:PHG393252 PQZ393252:PRC393252 QAV393252:QAY393252 QKR393252:QKU393252 QUN393252:QUQ393252 REJ393252:REM393252 ROF393252:ROI393252 RYB393252:RYE393252 SHX393252:SIA393252 SRT393252:SRW393252 TBP393252:TBS393252 TLL393252:TLO393252 TVH393252:TVK393252 UFD393252:UFG393252 UOZ393252:UPC393252 UYV393252:UYY393252 VIR393252:VIU393252 VSN393252:VSQ393252 WCJ393252:WCM393252 WMF393252:WMI393252 WWB393252:WWE393252 T458788:W458788 JP458788:JS458788 TL458788:TO458788 ADH458788:ADK458788 AND458788:ANG458788 AWZ458788:AXC458788 BGV458788:BGY458788 BQR458788:BQU458788 CAN458788:CAQ458788 CKJ458788:CKM458788 CUF458788:CUI458788 DEB458788:DEE458788 DNX458788:DOA458788 DXT458788:DXW458788 EHP458788:EHS458788 ERL458788:ERO458788 FBH458788:FBK458788 FLD458788:FLG458788 FUZ458788:FVC458788 GEV458788:GEY458788 GOR458788:GOU458788 GYN458788:GYQ458788 HIJ458788:HIM458788 HSF458788:HSI458788 ICB458788:ICE458788 ILX458788:IMA458788 IVT458788:IVW458788 JFP458788:JFS458788 JPL458788:JPO458788 JZH458788:JZK458788 KJD458788:KJG458788 KSZ458788:KTC458788 LCV458788:LCY458788 LMR458788:LMU458788 LWN458788:LWQ458788 MGJ458788:MGM458788 MQF458788:MQI458788 NAB458788:NAE458788 NJX458788:NKA458788 NTT458788:NTW458788 ODP458788:ODS458788 ONL458788:ONO458788 OXH458788:OXK458788 PHD458788:PHG458788 PQZ458788:PRC458788 QAV458788:QAY458788 QKR458788:QKU458788 QUN458788:QUQ458788 REJ458788:REM458788 ROF458788:ROI458788 RYB458788:RYE458788 SHX458788:SIA458788 SRT458788:SRW458788 TBP458788:TBS458788 TLL458788:TLO458788 TVH458788:TVK458788 UFD458788:UFG458788 UOZ458788:UPC458788 UYV458788:UYY458788 VIR458788:VIU458788 VSN458788:VSQ458788 WCJ458788:WCM458788 WMF458788:WMI458788 WWB458788:WWE458788 T524324:W524324 JP524324:JS524324 TL524324:TO524324 ADH524324:ADK524324 AND524324:ANG524324 AWZ524324:AXC524324 BGV524324:BGY524324 BQR524324:BQU524324 CAN524324:CAQ524324 CKJ524324:CKM524324 CUF524324:CUI524324 DEB524324:DEE524324 DNX524324:DOA524324 DXT524324:DXW524324 EHP524324:EHS524324 ERL524324:ERO524324 FBH524324:FBK524324 FLD524324:FLG524324 FUZ524324:FVC524324 GEV524324:GEY524324 GOR524324:GOU524324 GYN524324:GYQ524324 HIJ524324:HIM524324 HSF524324:HSI524324 ICB524324:ICE524324 ILX524324:IMA524324 IVT524324:IVW524324 JFP524324:JFS524324 JPL524324:JPO524324 JZH524324:JZK524324 KJD524324:KJG524324 KSZ524324:KTC524324 LCV524324:LCY524324 LMR524324:LMU524324 LWN524324:LWQ524324 MGJ524324:MGM524324 MQF524324:MQI524324 NAB524324:NAE524324 NJX524324:NKA524324 NTT524324:NTW524324 ODP524324:ODS524324 ONL524324:ONO524324 OXH524324:OXK524324 PHD524324:PHG524324 PQZ524324:PRC524324 QAV524324:QAY524324 QKR524324:QKU524324 QUN524324:QUQ524324 REJ524324:REM524324 ROF524324:ROI524324 RYB524324:RYE524324 SHX524324:SIA524324 SRT524324:SRW524324 TBP524324:TBS524324 TLL524324:TLO524324 TVH524324:TVK524324 UFD524324:UFG524324 UOZ524324:UPC524324 UYV524324:UYY524324 VIR524324:VIU524324 VSN524324:VSQ524324 WCJ524324:WCM524324 WMF524324:WMI524324 WWB524324:WWE524324 T589860:W589860 JP589860:JS589860 TL589860:TO589860 ADH589860:ADK589860 AND589860:ANG589860 AWZ589860:AXC589860 BGV589860:BGY589860 BQR589860:BQU589860 CAN589860:CAQ589860 CKJ589860:CKM589860 CUF589860:CUI589860 DEB589860:DEE589860 DNX589860:DOA589860 DXT589860:DXW589860 EHP589860:EHS589860 ERL589860:ERO589860 FBH589860:FBK589860 FLD589860:FLG589860 FUZ589860:FVC589860 GEV589860:GEY589860 GOR589860:GOU589860 GYN589860:GYQ589860 HIJ589860:HIM589860 HSF589860:HSI589860 ICB589860:ICE589860 ILX589860:IMA589860 IVT589860:IVW589860 JFP589860:JFS589860 JPL589860:JPO589860 JZH589860:JZK589860 KJD589860:KJG589860 KSZ589860:KTC589860 LCV589860:LCY589860 LMR589860:LMU589860 LWN589860:LWQ589860 MGJ589860:MGM589860 MQF589860:MQI589860 NAB589860:NAE589860 NJX589860:NKA589860 NTT589860:NTW589860 ODP589860:ODS589860 ONL589860:ONO589860 OXH589860:OXK589860 PHD589860:PHG589860 PQZ589860:PRC589860 QAV589860:QAY589860 QKR589860:QKU589860 QUN589860:QUQ589860 REJ589860:REM589860 ROF589860:ROI589860 RYB589860:RYE589860 SHX589860:SIA589860 SRT589860:SRW589860 TBP589860:TBS589860 TLL589860:TLO589860 TVH589860:TVK589860 UFD589860:UFG589860 UOZ589860:UPC589860 UYV589860:UYY589860 VIR589860:VIU589860 VSN589860:VSQ589860 WCJ589860:WCM589860 WMF589860:WMI589860 WWB589860:WWE589860 T655396:W655396 JP655396:JS655396 TL655396:TO655396 ADH655396:ADK655396 AND655396:ANG655396 AWZ655396:AXC655396 BGV655396:BGY655396 BQR655396:BQU655396 CAN655396:CAQ655396 CKJ655396:CKM655396 CUF655396:CUI655396 DEB655396:DEE655396 DNX655396:DOA655396 DXT655396:DXW655396 EHP655396:EHS655396 ERL655396:ERO655396 FBH655396:FBK655396 FLD655396:FLG655396 FUZ655396:FVC655396 GEV655396:GEY655396 GOR655396:GOU655396 GYN655396:GYQ655396 HIJ655396:HIM655396 HSF655396:HSI655396 ICB655396:ICE655396 ILX655396:IMA655396 IVT655396:IVW655396 JFP655396:JFS655396 JPL655396:JPO655396 JZH655396:JZK655396 KJD655396:KJG655396 KSZ655396:KTC655396 LCV655396:LCY655396 LMR655396:LMU655396 LWN655396:LWQ655396 MGJ655396:MGM655396 MQF655396:MQI655396 NAB655396:NAE655396 NJX655396:NKA655396 NTT655396:NTW655396 ODP655396:ODS655396 ONL655396:ONO655396 OXH655396:OXK655396 PHD655396:PHG655396 PQZ655396:PRC655396 QAV655396:QAY655396 QKR655396:QKU655396 QUN655396:QUQ655396 REJ655396:REM655396 ROF655396:ROI655396 RYB655396:RYE655396 SHX655396:SIA655396 SRT655396:SRW655396 TBP655396:TBS655396 TLL655396:TLO655396 TVH655396:TVK655396 UFD655396:UFG655396 UOZ655396:UPC655396 UYV655396:UYY655396 VIR655396:VIU655396 VSN655396:VSQ655396 WCJ655396:WCM655396 WMF655396:WMI655396 WWB655396:WWE655396 T720932:W720932 JP720932:JS720932 TL720932:TO720932 ADH720932:ADK720932 AND720932:ANG720932 AWZ720932:AXC720932 BGV720932:BGY720932 BQR720932:BQU720932 CAN720932:CAQ720932 CKJ720932:CKM720932 CUF720932:CUI720932 DEB720932:DEE720932 DNX720932:DOA720932 DXT720932:DXW720932 EHP720932:EHS720932 ERL720932:ERO720932 FBH720932:FBK720932 FLD720932:FLG720932 FUZ720932:FVC720932 GEV720932:GEY720932 GOR720932:GOU720932 GYN720932:GYQ720932 HIJ720932:HIM720932 HSF720932:HSI720932 ICB720932:ICE720932 ILX720932:IMA720932 IVT720932:IVW720932 JFP720932:JFS720932 JPL720932:JPO720932 JZH720932:JZK720932 KJD720932:KJG720932 KSZ720932:KTC720932 LCV720932:LCY720932 LMR720932:LMU720932 LWN720932:LWQ720932 MGJ720932:MGM720932 MQF720932:MQI720932 NAB720932:NAE720932 NJX720932:NKA720932 NTT720932:NTW720932 ODP720932:ODS720932 ONL720932:ONO720932 OXH720932:OXK720932 PHD720932:PHG720932 PQZ720932:PRC720932 QAV720932:QAY720932 QKR720932:QKU720932 QUN720932:QUQ720932 REJ720932:REM720932 ROF720932:ROI720932 RYB720932:RYE720932 SHX720932:SIA720932 SRT720932:SRW720932 TBP720932:TBS720932 TLL720932:TLO720932 TVH720932:TVK720932 UFD720932:UFG720932 UOZ720932:UPC720932 UYV720932:UYY720932 VIR720932:VIU720932 VSN720932:VSQ720932 WCJ720932:WCM720932 WMF720932:WMI720932 WWB720932:WWE720932 T786468:W786468 JP786468:JS786468 TL786468:TO786468 ADH786468:ADK786468 AND786468:ANG786468 AWZ786468:AXC786468 BGV786468:BGY786468 BQR786468:BQU786468 CAN786468:CAQ786468 CKJ786468:CKM786468 CUF786468:CUI786468 DEB786468:DEE786468 DNX786468:DOA786468 DXT786468:DXW786468 EHP786468:EHS786468 ERL786468:ERO786468 FBH786468:FBK786468 FLD786468:FLG786468 FUZ786468:FVC786468 GEV786468:GEY786468 GOR786468:GOU786468 GYN786468:GYQ786468 HIJ786468:HIM786468 HSF786468:HSI786468 ICB786468:ICE786468 ILX786468:IMA786468 IVT786468:IVW786468 JFP786468:JFS786468 JPL786468:JPO786468 JZH786468:JZK786468 KJD786468:KJG786468 KSZ786468:KTC786468 LCV786468:LCY786468 LMR786468:LMU786468 LWN786468:LWQ786468 MGJ786468:MGM786468 MQF786468:MQI786468 NAB786468:NAE786468 NJX786468:NKA786468 NTT786468:NTW786468 ODP786468:ODS786468 ONL786468:ONO786468 OXH786468:OXK786468 PHD786468:PHG786468 PQZ786468:PRC786468 QAV786468:QAY786468 QKR786468:QKU786468 QUN786468:QUQ786468 REJ786468:REM786468 ROF786468:ROI786468 RYB786468:RYE786468 SHX786468:SIA786468 SRT786468:SRW786468 TBP786468:TBS786468 TLL786468:TLO786468 TVH786468:TVK786468 UFD786468:UFG786468 UOZ786468:UPC786468 UYV786468:UYY786468 VIR786468:VIU786468 VSN786468:VSQ786468 WCJ786468:WCM786468 WMF786468:WMI786468 WWB786468:WWE786468 T852004:W852004 JP852004:JS852004 TL852004:TO852004 ADH852004:ADK852004 AND852004:ANG852004 AWZ852004:AXC852004 BGV852004:BGY852004 BQR852004:BQU852004 CAN852004:CAQ852004 CKJ852004:CKM852004 CUF852004:CUI852004 DEB852004:DEE852004 DNX852004:DOA852004 DXT852004:DXW852004 EHP852004:EHS852004 ERL852004:ERO852004 FBH852004:FBK852004 FLD852004:FLG852004 FUZ852004:FVC852004 GEV852004:GEY852004 GOR852004:GOU852004 GYN852004:GYQ852004 HIJ852004:HIM852004 HSF852004:HSI852004 ICB852004:ICE852004 ILX852004:IMA852004 IVT852004:IVW852004 JFP852004:JFS852004 JPL852004:JPO852004 JZH852004:JZK852004 KJD852004:KJG852004 KSZ852004:KTC852004 LCV852004:LCY852004 LMR852004:LMU852004 LWN852004:LWQ852004 MGJ852004:MGM852004 MQF852004:MQI852004 NAB852004:NAE852004 NJX852004:NKA852004 NTT852004:NTW852004 ODP852004:ODS852004 ONL852004:ONO852004 OXH852004:OXK852004 PHD852004:PHG852004 PQZ852004:PRC852004 QAV852004:QAY852004 QKR852004:QKU852004 QUN852004:QUQ852004 REJ852004:REM852004 ROF852004:ROI852004 RYB852004:RYE852004 SHX852004:SIA852004 SRT852004:SRW852004 TBP852004:TBS852004 TLL852004:TLO852004 TVH852004:TVK852004 UFD852004:UFG852004 UOZ852004:UPC852004 UYV852004:UYY852004 VIR852004:VIU852004 VSN852004:VSQ852004 WCJ852004:WCM852004 WMF852004:WMI852004 WWB852004:WWE852004 T917540:W917540 JP917540:JS917540 TL917540:TO917540 ADH917540:ADK917540 AND917540:ANG917540 AWZ917540:AXC917540 BGV917540:BGY917540 BQR917540:BQU917540 CAN917540:CAQ917540 CKJ917540:CKM917540 CUF917540:CUI917540 DEB917540:DEE917540 DNX917540:DOA917540 DXT917540:DXW917540 EHP917540:EHS917540 ERL917540:ERO917540 FBH917540:FBK917540 FLD917540:FLG917540 FUZ917540:FVC917540 GEV917540:GEY917540 GOR917540:GOU917540 GYN917540:GYQ917540 HIJ917540:HIM917540 HSF917540:HSI917540 ICB917540:ICE917540 ILX917540:IMA917540 IVT917540:IVW917540 JFP917540:JFS917540 JPL917540:JPO917540 JZH917540:JZK917540 KJD917540:KJG917540 KSZ917540:KTC917540 LCV917540:LCY917540 LMR917540:LMU917540 LWN917540:LWQ917540 MGJ917540:MGM917540 MQF917540:MQI917540 NAB917540:NAE917540 NJX917540:NKA917540 NTT917540:NTW917540 ODP917540:ODS917540 ONL917540:ONO917540 OXH917540:OXK917540 PHD917540:PHG917540 PQZ917540:PRC917540 QAV917540:QAY917540 QKR917540:QKU917540 QUN917540:QUQ917540 REJ917540:REM917540 ROF917540:ROI917540 RYB917540:RYE917540 SHX917540:SIA917540 SRT917540:SRW917540 TBP917540:TBS917540 TLL917540:TLO917540 TVH917540:TVK917540 UFD917540:UFG917540 UOZ917540:UPC917540 UYV917540:UYY917540 VIR917540:VIU917540 VSN917540:VSQ917540 WCJ917540:WCM917540 WMF917540:WMI917540 WWB917540:WWE917540 T983076:W983076 JP983076:JS983076 TL983076:TO983076 ADH983076:ADK983076 AND983076:ANG983076 AWZ983076:AXC983076 BGV983076:BGY983076 BQR983076:BQU983076 CAN983076:CAQ983076 CKJ983076:CKM983076 CUF983076:CUI983076 DEB983076:DEE983076 DNX983076:DOA983076 DXT983076:DXW983076 EHP983076:EHS983076 ERL983076:ERO983076 FBH983076:FBK983076 FLD983076:FLG983076 FUZ983076:FVC983076 GEV983076:GEY983076 GOR983076:GOU983076 GYN983076:GYQ983076 HIJ983076:HIM983076 HSF983076:HSI983076 ICB983076:ICE983076 ILX983076:IMA983076 IVT983076:IVW983076 JFP983076:JFS983076 JPL983076:JPO983076 JZH983076:JZK983076 KJD983076:KJG983076 KSZ983076:KTC983076 LCV983076:LCY983076 LMR983076:LMU983076 LWN983076:LWQ983076 MGJ983076:MGM983076 MQF983076:MQI983076 NAB983076:NAE983076 NJX983076:NKA983076 NTT983076:NTW983076 ODP983076:ODS983076 ONL983076:ONO983076 OXH983076:OXK983076 PHD983076:PHG983076 PQZ983076:PRC983076 QAV983076:QAY983076 QKR983076:QKU983076 QUN983076:QUQ983076 REJ983076:REM983076 ROF983076:ROI983076 RYB983076:RYE983076 SHX983076:SIA983076 SRT983076:SRW983076 TBP983076:TBS983076 TLL983076:TLO983076 TVH983076:TVK983076 UFD983076:UFG983076 UOZ983076:UPC983076 UYV983076:UYY983076 VIR983076:VIU983076 VSN983076:VSQ983076 WCJ983076:WCM983076 WMF983076:WMI983076" xr:uid="{0F70D0B5-4D81-4F2F-B6F0-D08627FE554C}">
      <formula1>AQ21:AQ67</formula1>
    </dataValidation>
    <dataValidation type="list" allowBlank="1" showInputMessage="1" sqref="O22:R22" xr:uid="{382F1492-0324-4F8E-A60B-04CEFEAA5AB0}">
      <formula1>"　,建築ＩＰＥＣ,昇降ＩＰＥＣ,工作ＩＰＥＣ,設備ＩＰＥＣ"</formula1>
    </dataValidation>
    <dataValidation type="list" allowBlank="1" showInputMessage="1" sqref="M22:N22" xr:uid="{098A73B5-5CCE-4962-9B49-1F7EA7838467}">
      <formula1>"　 ,確認,確更"</formula1>
    </dataValidation>
  </dataValidations>
  <pageMargins left="0.78740157480314965" right="0.78740157480314965" top="0.59055118110236227" bottom="0.59055118110236227" header="0.51181102362204722" footer="0.51181102362204722"/>
  <pageSetup paperSize="9" orientation="portrait" blackAndWhite="1" r:id="rId1"/>
  <headerFooter alignWithMargins="0">
    <oddFooter xml:space="preserve">&amp;LIPEC-09 選定届.xls&amp;Rｖｅｒ１.2
</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1A7F-B660-46D7-B027-B2140A4B0EBE}">
  <dimension ref="A1:AJ41"/>
  <sheetViews>
    <sheetView view="pageBreakPreview" zoomScaleNormal="100" zoomScaleSheetLayoutView="100" workbookViewId="0">
      <selection activeCell="AG1" sqref="AG1"/>
    </sheetView>
  </sheetViews>
  <sheetFormatPr defaultColWidth="0" defaultRowHeight="20.100000000000001" customHeight="1"/>
  <cols>
    <col min="1" max="1" width="2.625" style="598" customWidth="1"/>
    <col min="2" max="2" width="3" style="598" customWidth="1"/>
    <col min="3" max="3" width="2.625" style="598" customWidth="1"/>
    <col min="4" max="4" width="2.5" style="598" customWidth="1"/>
    <col min="5" max="5" width="2.625" style="598" customWidth="1"/>
    <col min="6" max="6" width="3.125" style="598" customWidth="1"/>
    <col min="7" max="7" width="2.5" style="598" customWidth="1"/>
    <col min="8" max="15" width="2.625" style="598" customWidth="1"/>
    <col min="16" max="16" width="2.875" style="598" customWidth="1"/>
    <col min="17" max="41" width="2.625" style="598" customWidth="1"/>
    <col min="42" max="42" width="0" style="598" hidden="1" customWidth="1"/>
    <col min="43" max="16384" width="0" style="598" hidden="1"/>
  </cols>
  <sheetData>
    <row r="1" spans="1:33" ht="12.75">
      <c r="B1" s="601" t="s">
        <v>3204</v>
      </c>
      <c r="C1" s="601"/>
      <c r="AG1" s="616" t="s">
        <v>3205</v>
      </c>
    </row>
    <row r="3" spans="1:33" ht="14.25">
      <c r="A3" s="1068" t="s">
        <v>3206</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c r="AG3" s="615"/>
    </row>
    <row r="5" spans="1:33" ht="12.75">
      <c r="C5" s="601" t="s">
        <v>3207</v>
      </c>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row>
    <row r="6" spans="1:33" ht="12.75">
      <c r="C6" s="601" t="s">
        <v>3208</v>
      </c>
      <c r="E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row>
    <row r="9" spans="1:33" ht="17.25">
      <c r="C9" s="613" t="s">
        <v>3109</v>
      </c>
      <c r="E9" s="612"/>
      <c r="F9" s="612"/>
      <c r="G9" s="612"/>
      <c r="H9" s="612"/>
      <c r="I9" s="612"/>
      <c r="M9" s="598" t="s">
        <v>3110</v>
      </c>
    </row>
    <row r="11" spans="1:33" ht="12.75">
      <c r="U11" s="668" t="str">
        <f ca="1">TEXT(TODAY(),"ggg")</f>
        <v>令和</v>
      </c>
      <c r="V11" s="668"/>
      <c r="W11" s="1062"/>
      <c r="X11" s="1062"/>
      <c r="Y11" s="668" t="s">
        <v>2822</v>
      </c>
      <c r="Z11" s="1062"/>
      <c r="AA11" s="1062"/>
      <c r="AB11" s="668" t="s">
        <v>2823</v>
      </c>
      <c r="AC11" s="1062"/>
      <c r="AD11" s="1062"/>
      <c r="AE11" s="668" t="s">
        <v>2824</v>
      </c>
    </row>
    <row r="13" spans="1:33" ht="12.75">
      <c r="N13" s="1064" t="s">
        <v>3111</v>
      </c>
      <c r="O13" s="1064"/>
      <c r="P13" s="1064"/>
      <c r="Q13" s="1064"/>
      <c r="R13" s="1064"/>
      <c r="S13" s="1064"/>
      <c r="T13" s="1064"/>
      <c r="U13" s="1064"/>
      <c r="V13" s="1064"/>
      <c r="W13" s="1064"/>
      <c r="X13" s="1064"/>
      <c r="Y13" s="1064"/>
      <c r="Z13" s="1064"/>
      <c r="AA13" s="1064"/>
      <c r="AB13" s="1064"/>
      <c r="AC13" s="1064"/>
      <c r="AD13" s="1064"/>
      <c r="AE13" s="1064"/>
      <c r="AF13" s="1064"/>
    </row>
    <row r="14" spans="1:33" ht="12.75">
      <c r="F14" s="600"/>
      <c r="G14" s="600"/>
      <c r="H14" s="600"/>
      <c r="I14" s="600"/>
      <c r="J14" s="600"/>
      <c r="K14" s="600"/>
      <c r="L14" s="600"/>
      <c r="M14" s="600"/>
      <c r="N14" s="1075" t="str">
        <f>cst_wskakunin_owner1_NAME</f>
        <v>猫山　花子</v>
      </c>
      <c r="O14" s="1075"/>
      <c r="P14" s="1075"/>
      <c r="Q14" s="1075"/>
      <c r="R14" s="1075"/>
      <c r="S14" s="1075"/>
      <c r="T14" s="1075"/>
      <c r="U14" s="1075"/>
      <c r="V14" s="1075"/>
      <c r="W14" s="1075"/>
      <c r="X14" s="1075"/>
      <c r="Y14" s="1075"/>
      <c r="Z14" s="1075"/>
      <c r="AA14" s="1075"/>
      <c r="AB14" s="1075"/>
      <c r="AC14" s="1075"/>
      <c r="AD14" s="1075"/>
      <c r="AE14" s="1075"/>
      <c r="AF14" s="601"/>
    </row>
    <row r="15" spans="1:33" ht="12.75">
      <c r="N15" s="1075"/>
      <c r="O15" s="1075"/>
      <c r="P15" s="1075"/>
      <c r="Q15" s="1075"/>
      <c r="R15" s="1075"/>
      <c r="S15" s="1075"/>
      <c r="T15" s="1075"/>
      <c r="U15" s="1075"/>
      <c r="V15" s="1075"/>
      <c r="W15" s="1075"/>
      <c r="X15" s="1075"/>
      <c r="Y15" s="1075"/>
      <c r="Z15" s="1075"/>
      <c r="AA15" s="1075"/>
      <c r="AB15" s="1075"/>
      <c r="AC15" s="1075"/>
      <c r="AD15" s="1075"/>
      <c r="AE15" s="1075"/>
      <c r="AF15" s="601"/>
    </row>
    <row r="16" spans="1:33" ht="12.75">
      <c r="N16" s="598" t="s">
        <v>3112</v>
      </c>
    </row>
    <row r="17" spans="1:36" ht="12.75">
      <c r="N17" s="1069" t="str">
        <f>cst_wskakunin_owner1__address</f>
        <v>大阪府茨木市山手台2-2-2</v>
      </c>
      <c r="O17" s="1069"/>
      <c r="P17" s="1069"/>
      <c r="Q17" s="1069"/>
      <c r="R17" s="1069"/>
      <c r="S17" s="1069"/>
      <c r="T17" s="1069"/>
      <c r="U17" s="1069"/>
      <c r="V17" s="1069"/>
      <c r="W17" s="1069"/>
      <c r="X17" s="1069"/>
      <c r="Y17" s="1069"/>
      <c r="Z17" s="1069"/>
      <c r="AA17" s="1069"/>
      <c r="AB17" s="1069"/>
      <c r="AC17" s="1069"/>
      <c r="AD17" s="1069"/>
      <c r="AE17" s="1069"/>
    </row>
    <row r="18" spans="1:36" ht="12.75">
      <c r="A18" s="611"/>
      <c r="B18" s="611"/>
      <c r="C18" s="611"/>
      <c r="D18" s="611"/>
      <c r="E18" s="611"/>
      <c r="F18" s="610"/>
      <c r="G18" s="610"/>
      <c r="H18" s="610"/>
      <c r="I18" s="610"/>
      <c r="J18" s="610"/>
      <c r="K18" s="610"/>
      <c r="L18" s="610"/>
      <c r="M18" s="610"/>
      <c r="N18" s="1070"/>
      <c r="O18" s="1070"/>
      <c r="P18" s="1070"/>
      <c r="Q18" s="1070"/>
      <c r="R18" s="1070"/>
      <c r="S18" s="1070"/>
      <c r="T18" s="1070"/>
      <c r="U18" s="1070"/>
      <c r="V18" s="1070"/>
      <c r="W18" s="1070"/>
      <c r="X18" s="1070"/>
      <c r="Y18" s="1070"/>
      <c r="Z18" s="1070"/>
      <c r="AA18" s="1070"/>
      <c r="AB18" s="1070"/>
      <c r="AC18" s="1070"/>
      <c r="AD18" s="1070"/>
      <c r="AE18" s="1070"/>
      <c r="AF18" s="610"/>
    </row>
    <row r="19" spans="1:36" ht="15" customHeight="1">
      <c r="A19" s="609"/>
      <c r="B19" s="609"/>
      <c r="C19" s="609"/>
      <c r="D19" s="609"/>
      <c r="E19" s="609"/>
      <c r="F19" s="607"/>
      <c r="G19" s="607"/>
      <c r="H19" s="607"/>
      <c r="I19" s="607"/>
      <c r="J19" s="607"/>
      <c r="K19" s="607"/>
      <c r="L19" s="607"/>
      <c r="M19" s="607"/>
      <c r="N19" s="608"/>
      <c r="O19" s="608"/>
      <c r="P19" s="608"/>
      <c r="Q19" s="608"/>
      <c r="R19" s="608"/>
      <c r="S19" s="608"/>
      <c r="T19" s="608"/>
      <c r="U19" s="608"/>
      <c r="V19" s="608"/>
      <c r="W19" s="608"/>
      <c r="X19" s="608"/>
      <c r="Y19" s="608"/>
      <c r="Z19" s="608"/>
      <c r="AA19" s="608"/>
      <c r="AB19" s="608"/>
      <c r="AC19" s="608"/>
      <c r="AD19" s="608"/>
      <c r="AE19" s="608"/>
      <c r="AF19" s="607"/>
    </row>
    <row r="20" spans="1:36" ht="15" customHeight="1">
      <c r="A20" s="1067" t="s">
        <v>3113</v>
      </c>
      <c r="B20" s="1067"/>
      <c r="C20" s="1067"/>
      <c r="D20" s="1067"/>
      <c r="E20" s="1067"/>
      <c r="F20" s="1067"/>
      <c r="G20" s="1067"/>
      <c r="H20" s="1067"/>
      <c r="I20" s="1067"/>
      <c r="J20" s="1067"/>
      <c r="K20" s="1067"/>
      <c r="L20" s="1067"/>
      <c r="M20" s="1067"/>
      <c r="N20" s="1067"/>
      <c r="O20" s="1067"/>
      <c r="P20" s="1067"/>
      <c r="Q20" s="1067"/>
      <c r="R20" s="1067"/>
      <c r="S20" s="1067"/>
      <c r="T20" s="1067"/>
      <c r="U20" s="1067"/>
      <c r="V20" s="1067"/>
      <c r="W20" s="1067"/>
      <c r="X20" s="1067"/>
      <c r="Y20" s="1067"/>
      <c r="Z20" s="1067"/>
      <c r="AA20" s="1067"/>
      <c r="AB20" s="1067"/>
      <c r="AC20" s="1067"/>
      <c r="AD20" s="1067"/>
      <c r="AE20" s="1067"/>
      <c r="AF20" s="1067"/>
    </row>
    <row r="21" spans="1:36" ht="15" customHeight="1"/>
    <row r="22" spans="1:36" ht="12.75">
      <c r="B22" s="604"/>
      <c r="C22" s="604" t="s">
        <v>3209</v>
      </c>
      <c r="D22" s="598" t="s">
        <v>3115</v>
      </c>
    </row>
    <row r="23" spans="1:36" ht="12.75">
      <c r="B23" s="604"/>
      <c r="C23" s="604"/>
      <c r="D23" s="1071" t="str">
        <f>cst_wskakunin_BUILD__address</f>
        <v>大阪府茨木市山手台2-2-2</v>
      </c>
      <c r="E23" s="1071"/>
      <c r="F23" s="1071"/>
      <c r="G23" s="1071"/>
      <c r="H23" s="1071"/>
      <c r="I23" s="1071"/>
      <c r="J23" s="1071"/>
      <c r="K23" s="1071"/>
      <c r="L23" s="1071"/>
      <c r="M23" s="1071"/>
      <c r="N23" s="1071"/>
      <c r="O23" s="1071"/>
      <c r="P23" s="1071"/>
      <c r="Q23" s="1071"/>
      <c r="R23" s="1071"/>
      <c r="S23" s="1071"/>
      <c r="T23" s="1071"/>
      <c r="U23" s="1071"/>
      <c r="V23" s="1071"/>
      <c r="W23" s="1071"/>
      <c r="X23" s="1071"/>
      <c r="Y23" s="1071"/>
      <c r="Z23" s="1071"/>
      <c r="AA23" s="1071"/>
      <c r="AB23" s="1071"/>
      <c r="AC23" s="1071"/>
      <c r="AD23" s="1071"/>
      <c r="AE23" s="1071"/>
    </row>
    <row r="24" spans="1:36" ht="13.5">
      <c r="B24" s="604"/>
      <c r="C24" s="604" t="s">
        <v>3210</v>
      </c>
      <c r="D24" s="1063" t="s">
        <v>3211</v>
      </c>
      <c r="E24" s="1063"/>
      <c r="F24" s="1063"/>
      <c r="G24" s="1063"/>
      <c r="H24" s="1063"/>
      <c r="I24" s="1063"/>
      <c r="L24" s="606" t="str">
        <f ca="1">IF(cst_shinsei_ACCEPT_DATE="",TEXT(TODAY(),"ggg"),TEXT(cst_shinsei_ACCEPT_DATE,"ggg"))</f>
        <v>令和</v>
      </c>
      <c r="M24" s="606"/>
      <c r="N24" s="1072"/>
      <c r="O24" s="1072"/>
      <c r="P24" s="606" t="s">
        <v>2822</v>
      </c>
      <c r="Q24" s="1073"/>
      <c r="R24" s="1073"/>
      <c r="S24" s="606" t="s">
        <v>2823</v>
      </c>
      <c r="T24" s="1074"/>
      <c r="U24" s="1074"/>
      <c r="V24" s="606" t="s">
        <v>2824</v>
      </c>
    </row>
    <row r="25" spans="1:36" ht="12.75">
      <c r="B25" s="604"/>
      <c r="C25" s="604" t="s">
        <v>3212</v>
      </c>
      <c r="D25" s="1063" t="s">
        <v>3213</v>
      </c>
      <c r="E25" s="1063"/>
      <c r="F25" s="1063"/>
      <c r="G25" s="1063"/>
      <c r="H25" s="1063"/>
      <c r="I25" s="1063"/>
      <c r="L25" s="1066" t="s">
        <v>2982</v>
      </c>
      <c r="M25" s="1066"/>
      <c r="N25" s="1065"/>
      <c r="O25" s="1065"/>
      <c r="P25" s="1065"/>
      <c r="Q25" s="1065"/>
      <c r="R25" s="1065"/>
      <c r="S25" s="1065"/>
      <c r="T25" s="1065"/>
      <c r="U25" s="1065"/>
      <c r="V25" s="605" t="s">
        <v>2762</v>
      </c>
      <c r="W25" s="605"/>
      <c r="X25" s="605"/>
    </row>
    <row r="26" spans="1:36" ht="12.75">
      <c r="B26" s="604"/>
      <c r="C26" s="604" t="s">
        <v>3214</v>
      </c>
      <c r="D26" s="1063" t="s">
        <v>3215</v>
      </c>
      <c r="E26" s="1063"/>
      <c r="F26" s="1063"/>
      <c r="G26" s="1063"/>
      <c r="H26" s="1063"/>
      <c r="I26" s="1063"/>
      <c r="K26" s="603"/>
      <c r="L26" s="603"/>
      <c r="M26" s="603"/>
      <c r="N26" s="603"/>
      <c r="O26" s="603"/>
      <c r="P26" s="603"/>
      <c r="Q26" s="603"/>
    </row>
    <row r="27" spans="1:36" ht="12.75">
      <c r="B27" s="604"/>
      <c r="C27" s="604"/>
      <c r="F27" s="672" t="s">
        <v>2745</v>
      </c>
      <c r="G27" s="598" t="s">
        <v>3216</v>
      </c>
      <c r="K27" s="603"/>
      <c r="L27" s="603"/>
      <c r="M27" s="603"/>
      <c r="N27" s="603"/>
      <c r="O27" s="603"/>
      <c r="P27" s="603"/>
      <c r="Q27" s="603"/>
    </row>
    <row r="28" spans="1:36" ht="12.75">
      <c r="B28" s="604"/>
      <c r="C28" s="604"/>
      <c r="F28" s="672" t="s">
        <v>2745</v>
      </c>
      <c r="G28" s="598" t="s">
        <v>3217</v>
      </c>
      <c r="K28" s="603"/>
      <c r="L28" s="603"/>
      <c r="M28" s="603"/>
      <c r="N28" s="603"/>
      <c r="O28" s="603"/>
      <c r="P28" s="603"/>
      <c r="Q28" s="603"/>
      <c r="AJ28" s="598" t="s">
        <v>2745</v>
      </c>
    </row>
    <row r="29" spans="1:36" ht="12.75">
      <c r="B29" s="604"/>
      <c r="C29" s="604"/>
      <c r="F29" s="672" t="s">
        <v>2745</v>
      </c>
      <c r="G29" s="598" t="s">
        <v>3218</v>
      </c>
      <c r="K29" s="603"/>
      <c r="L29" s="603"/>
      <c r="M29" s="603"/>
      <c r="N29" s="603"/>
      <c r="O29" s="603"/>
      <c r="P29" s="603"/>
      <c r="Q29" s="603"/>
      <c r="AJ29" s="598" t="s">
        <v>2753</v>
      </c>
    </row>
    <row r="30" spans="1:36" ht="12.75">
      <c r="B30" s="604"/>
      <c r="C30" s="604" t="s">
        <v>3219</v>
      </c>
      <c r="D30" s="598" t="s">
        <v>3220</v>
      </c>
      <c r="K30" s="603"/>
      <c r="L30" s="603"/>
      <c r="M30" s="603"/>
      <c r="N30" s="603"/>
      <c r="O30" s="603"/>
      <c r="P30" s="603"/>
      <c r="Q30" s="603"/>
    </row>
    <row r="31" spans="1:36" ht="12.75">
      <c r="B31" s="604"/>
      <c r="C31" s="604"/>
      <c r="F31" s="672" t="s">
        <v>2745</v>
      </c>
      <c r="G31" s="598" t="s">
        <v>67</v>
      </c>
      <c r="K31" s="603"/>
      <c r="L31" s="603"/>
      <c r="M31" s="603"/>
      <c r="N31" s="603"/>
      <c r="O31" s="603"/>
      <c r="P31" s="603"/>
      <c r="Q31" s="603"/>
    </row>
    <row r="32" spans="1:36" ht="12.75">
      <c r="B32" s="604"/>
      <c r="C32" s="604"/>
      <c r="F32" s="672" t="s">
        <v>2745</v>
      </c>
      <c r="G32" s="598" t="s">
        <v>78</v>
      </c>
      <c r="K32" s="603"/>
      <c r="L32" s="603"/>
      <c r="M32" s="603"/>
      <c r="N32" s="603"/>
      <c r="O32" s="603"/>
      <c r="P32" s="603"/>
      <c r="Q32" s="603"/>
    </row>
    <row r="33" spans="2:33" ht="12.75">
      <c r="B33" s="604"/>
      <c r="C33" s="604"/>
      <c r="F33" s="672" t="s">
        <v>2745</v>
      </c>
      <c r="G33" s="598" t="s">
        <v>80</v>
      </c>
      <c r="K33" s="603"/>
      <c r="L33" s="603"/>
      <c r="M33" s="603"/>
      <c r="N33" s="603"/>
      <c r="O33" s="603"/>
      <c r="P33" s="603"/>
      <c r="Q33" s="603"/>
    </row>
    <row r="34" spans="2:33" ht="12.75">
      <c r="B34" s="604"/>
      <c r="C34" s="604"/>
      <c r="F34" s="672" t="s">
        <v>2745</v>
      </c>
      <c r="G34" s="598" t="s">
        <v>3221</v>
      </c>
      <c r="K34" s="603"/>
      <c r="L34" s="603"/>
      <c r="M34" s="603"/>
      <c r="N34" s="603"/>
      <c r="O34" s="603"/>
      <c r="P34" s="603"/>
      <c r="Q34" s="603"/>
    </row>
    <row r="35" spans="2:33" ht="12.75">
      <c r="B35" s="604"/>
      <c r="C35" s="604"/>
      <c r="K35" s="603"/>
      <c r="L35" s="603"/>
      <c r="M35" s="603"/>
      <c r="N35" s="603"/>
      <c r="O35" s="603"/>
      <c r="P35" s="603"/>
      <c r="Q35" s="603"/>
    </row>
    <row r="36" spans="2:33" ht="12.75">
      <c r="B36" s="604"/>
      <c r="C36" s="604" t="s">
        <v>3222</v>
      </c>
      <c r="D36" s="598" t="s">
        <v>3223</v>
      </c>
      <c r="K36" s="603"/>
      <c r="L36" s="603"/>
      <c r="M36" s="603"/>
      <c r="N36" s="603"/>
      <c r="O36" s="603"/>
      <c r="P36" s="603"/>
      <c r="Q36" s="603"/>
    </row>
    <row r="37" spans="2:33" ht="12.75">
      <c r="B37" s="604"/>
      <c r="C37" s="604"/>
      <c r="D37" s="673"/>
      <c r="E37" s="673"/>
      <c r="F37" s="673"/>
      <c r="G37" s="673"/>
      <c r="H37" s="673"/>
      <c r="I37" s="673"/>
      <c r="J37" s="673"/>
      <c r="K37" s="674"/>
      <c r="L37" s="674"/>
      <c r="M37" s="674"/>
      <c r="N37" s="674"/>
      <c r="O37" s="674"/>
      <c r="P37" s="674"/>
      <c r="Q37" s="674"/>
      <c r="R37" s="673"/>
      <c r="S37" s="673"/>
      <c r="T37" s="673"/>
      <c r="U37" s="673"/>
      <c r="V37" s="673"/>
      <c r="W37" s="673"/>
      <c r="X37" s="673"/>
      <c r="Y37" s="673"/>
      <c r="Z37" s="673"/>
      <c r="AA37" s="673"/>
      <c r="AB37" s="673"/>
      <c r="AC37" s="673"/>
      <c r="AD37" s="673"/>
      <c r="AE37" s="673"/>
    </row>
    <row r="38" spans="2:33" ht="12.75">
      <c r="B38" s="604"/>
      <c r="C38" s="604"/>
      <c r="D38" s="673"/>
      <c r="E38" s="673"/>
      <c r="F38" s="673"/>
      <c r="G38" s="673"/>
      <c r="H38" s="673"/>
      <c r="I38" s="673"/>
      <c r="J38" s="673"/>
      <c r="K38" s="674"/>
      <c r="L38" s="674"/>
      <c r="M38" s="674"/>
      <c r="N38" s="674"/>
      <c r="O38" s="674"/>
      <c r="P38" s="674"/>
      <c r="Q38" s="674"/>
      <c r="R38" s="673"/>
      <c r="S38" s="673"/>
      <c r="T38" s="673"/>
      <c r="U38" s="673"/>
      <c r="V38" s="673"/>
      <c r="W38" s="673"/>
      <c r="X38" s="673"/>
      <c r="Y38" s="673"/>
      <c r="Z38" s="673"/>
      <c r="AA38" s="673"/>
      <c r="AB38" s="673"/>
      <c r="AC38" s="673"/>
      <c r="AD38" s="673"/>
      <c r="AE38" s="673"/>
    </row>
    <row r="39" spans="2:33" ht="12.75">
      <c r="B39" s="604"/>
      <c r="C39" s="604"/>
      <c r="K39" s="603"/>
      <c r="L39" s="603"/>
      <c r="M39" s="603"/>
      <c r="N39" s="603"/>
      <c r="O39" s="603"/>
      <c r="P39" s="603"/>
      <c r="Q39" s="603"/>
      <c r="AA39" s="599"/>
      <c r="AB39" s="599"/>
      <c r="AD39" s="599"/>
      <c r="AE39" s="599"/>
      <c r="AF39" s="599"/>
      <c r="AG39" s="599"/>
    </row>
    <row r="40" spans="2:33" ht="12.75">
      <c r="B40" s="602"/>
      <c r="C40" s="602" t="s">
        <v>3099</v>
      </c>
      <c r="D40" s="601">
        <v>1</v>
      </c>
      <c r="E40" s="598" t="s">
        <v>3224</v>
      </c>
    </row>
    <row r="41" spans="2:33" ht="12.75">
      <c r="D41" s="601">
        <v>2</v>
      </c>
      <c r="E41" s="598" t="s">
        <v>3225</v>
      </c>
      <c r="H41" s="600" t="s">
        <v>2745</v>
      </c>
      <c r="I41" s="598" t="s">
        <v>3226</v>
      </c>
      <c r="K41" s="598" t="s">
        <v>3227</v>
      </c>
      <c r="V41" s="599"/>
      <c r="W41" s="599"/>
      <c r="X41" s="599"/>
      <c r="Y41" s="599"/>
      <c r="Z41" s="599"/>
    </row>
  </sheetData>
  <mergeCells count="17">
    <mergeCell ref="A3:AF3"/>
    <mergeCell ref="D25:I25"/>
    <mergeCell ref="N17:AE18"/>
    <mergeCell ref="AC11:AD11"/>
    <mergeCell ref="D23:AE23"/>
    <mergeCell ref="N24:O24"/>
    <mergeCell ref="Q24:R24"/>
    <mergeCell ref="T24:U24"/>
    <mergeCell ref="N14:AE15"/>
    <mergeCell ref="D26:I26"/>
    <mergeCell ref="N13:AF13"/>
    <mergeCell ref="W11:X11"/>
    <mergeCell ref="Z11:AA11"/>
    <mergeCell ref="N25:U25"/>
    <mergeCell ref="L25:M25"/>
    <mergeCell ref="D24:I24"/>
    <mergeCell ref="A20:AF20"/>
  </mergeCells>
  <phoneticPr fontId="7"/>
  <dataValidations count="2">
    <dataValidation imeMode="hiragana" allowBlank="1" showInputMessage="1" showErrorMessage="1" sqref="F39:AB39 JB39:JX39 SX39:TT39 ACT39:ADP39 AMP39:ANL39 AWL39:AXH39 BGH39:BHD39 BQD39:BQZ39 BZZ39:CAV39 CJV39:CKR39 CTR39:CUN39 DDN39:DEJ39 DNJ39:DOF39 DXF39:DYB39 EHB39:EHX39 EQX39:ERT39 FAT39:FBP39 FKP39:FLL39 FUL39:FVH39 GEH39:GFD39 GOD39:GOZ39 GXZ39:GYV39 HHV39:HIR39 HRR39:HSN39 IBN39:ICJ39 ILJ39:IMF39 IVF39:IWB39 JFB39:JFX39 JOX39:JPT39 JYT39:JZP39 KIP39:KJL39 KSL39:KTH39 LCH39:LDD39 LMD39:LMZ39 LVZ39:LWV39 MFV39:MGR39 MPR39:MQN39 MZN39:NAJ39 NJJ39:NKF39 NTF39:NUB39 ODB39:ODX39 OMX39:ONT39 OWT39:OXP39 PGP39:PHL39 PQL39:PRH39 QAH39:QBD39 QKD39:QKZ39 QTZ39:QUV39 RDV39:RER39 RNR39:RON39 RXN39:RYJ39 SHJ39:SIF39 SRF39:SSB39 TBB39:TBX39 TKX39:TLT39 TUT39:TVP39 UEP39:UFL39 UOL39:UPH39 UYH39:UZD39 VID39:VIZ39 VRZ39:VSV39 WBV39:WCR39 WLR39:WMN39 WVN39:WWJ39 F65574:AB65574 JB65574:JX65574 SX65574:TT65574 ACT65574:ADP65574 AMP65574:ANL65574 AWL65574:AXH65574 BGH65574:BHD65574 BQD65574:BQZ65574 BZZ65574:CAV65574 CJV65574:CKR65574 CTR65574:CUN65574 DDN65574:DEJ65574 DNJ65574:DOF65574 DXF65574:DYB65574 EHB65574:EHX65574 EQX65574:ERT65574 FAT65574:FBP65574 FKP65574:FLL65574 FUL65574:FVH65574 GEH65574:GFD65574 GOD65574:GOZ65574 GXZ65574:GYV65574 HHV65574:HIR65574 HRR65574:HSN65574 IBN65574:ICJ65574 ILJ65574:IMF65574 IVF65574:IWB65574 JFB65574:JFX65574 JOX65574:JPT65574 JYT65574:JZP65574 KIP65574:KJL65574 KSL65574:KTH65574 LCH65574:LDD65574 LMD65574:LMZ65574 LVZ65574:LWV65574 MFV65574:MGR65574 MPR65574:MQN65574 MZN65574:NAJ65574 NJJ65574:NKF65574 NTF65574:NUB65574 ODB65574:ODX65574 OMX65574:ONT65574 OWT65574:OXP65574 PGP65574:PHL65574 PQL65574:PRH65574 QAH65574:QBD65574 QKD65574:QKZ65574 QTZ65574:QUV65574 RDV65574:RER65574 RNR65574:RON65574 RXN65574:RYJ65574 SHJ65574:SIF65574 SRF65574:SSB65574 TBB65574:TBX65574 TKX65574:TLT65574 TUT65574:TVP65574 UEP65574:UFL65574 UOL65574:UPH65574 UYH65574:UZD65574 VID65574:VIZ65574 VRZ65574:VSV65574 WBV65574:WCR65574 WLR65574:WMN65574 WVN65574:WWJ65574 F131110:AB131110 JB131110:JX131110 SX131110:TT131110 ACT131110:ADP131110 AMP131110:ANL131110 AWL131110:AXH131110 BGH131110:BHD131110 BQD131110:BQZ131110 BZZ131110:CAV131110 CJV131110:CKR131110 CTR131110:CUN131110 DDN131110:DEJ131110 DNJ131110:DOF131110 DXF131110:DYB131110 EHB131110:EHX131110 EQX131110:ERT131110 FAT131110:FBP131110 FKP131110:FLL131110 FUL131110:FVH131110 GEH131110:GFD131110 GOD131110:GOZ131110 GXZ131110:GYV131110 HHV131110:HIR131110 HRR131110:HSN131110 IBN131110:ICJ131110 ILJ131110:IMF131110 IVF131110:IWB131110 JFB131110:JFX131110 JOX131110:JPT131110 JYT131110:JZP131110 KIP131110:KJL131110 KSL131110:KTH131110 LCH131110:LDD131110 LMD131110:LMZ131110 LVZ131110:LWV131110 MFV131110:MGR131110 MPR131110:MQN131110 MZN131110:NAJ131110 NJJ131110:NKF131110 NTF131110:NUB131110 ODB131110:ODX131110 OMX131110:ONT131110 OWT131110:OXP131110 PGP131110:PHL131110 PQL131110:PRH131110 QAH131110:QBD131110 QKD131110:QKZ131110 QTZ131110:QUV131110 RDV131110:RER131110 RNR131110:RON131110 RXN131110:RYJ131110 SHJ131110:SIF131110 SRF131110:SSB131110 TBB131110:TBX131110 TKX131110:TLT131110 TUT131110:TVP131110 UEP131110:UFL131110 UOL131110:UPH131110 UYH131110:UZD131110 VID131110:VIZ131110 VRZ131110:VSV131110 WBV131110:WCR131110 WLR131110:WMN131110 WVN131110:WWJ131110 F196646:AB196646 JB196646:JX196646 SX196646:TT196646 ACT196646:ADP196646 AMP196646:ANL196646 AWL196646:AXH196646 BGH196646:BHD196646 BQD196646:BQZ196646 BZZ196646:CAV196646 CJV196646:CKR196646 CTR196646:CUN196646 DDN196646:DEJ196646 DNJ196646:DOF196646 DXF196646:DYB196646 EHB196646:EHX196646 EQX196646:ERT196646 FAT196646:FBP196646 FKP196646:FLL196646 FUL196646:FVH196646 GEH196646:GFD196646 GOD196646:GOZ196646 GXZ196646:GYV196646 HHV196646:HIR196646 HRR196646:HSN196646 IBN196646:ICJ196646 ILJ196646:IMF196646 IVF196646:IWB196646 JFB196646:JFX196646 JOX196646:JPT196646 JYT196646:JZP196646 KIP196646:KJL196646 KSL196646:KTH196646 LCH196646:LDD196646 LMD196646:LMZ196646 LVZ196646:LWV196646 MFV196646:MGR196646 MPR196646:MQN196646 MZN196646:NAJ196646 NJJ196646:NKF196646 NTF196646:NUB196646 ODB196646:ODX196646 OMX196646:ONT196646 OWT196646:OXP196646 PGP196646:PHL196646 PQL196646:PRH196646 QAH196646:QBD196646 QKD196646:QKZ196646 QTZ196646:QUV196646 RDV196646:RER196646 RNR196646:RON196646 RXN196646:RYJ196646 SHJ196646:SIF196646 SRF196646:SSB196646 TBB196646:TBX196646 TKX196646:TLT196646 TUT196646:TVP196646 UEP196646:UFL196646 UOL196646:UPH196646 UYH196646:UZD196646 VID196646:VIZ196646 VRZ196646:VSV196646 WBV196646:WCR196646 WLR196646:WMN196646 WVN196646:WWJ196646 F262182:AB262182 JB262182:JX262182 SX262182:TT262182 ACT262182:ADP262182 AMP262182:ANL262182 AWL262182:AXH262182 BGH262182:BHD262182 BQD262182:BQZ262182 BZZ262182:CAV262182 CJV262182:CKR262182 CTR262182:CUN262182 DDN262182:DEJ262182 DNJ262182:DOF262182 DXF262182:DYB262182 EHB262182:EHX262182 EQX262182:ERT262182 FAT262182:FBP262182 FKP262182:FLL262182 FUL262182:FVH262182 GEH262182:GFD262182 GOD262182:GOZ262182 GXZ262182:GYV262182 HHV262182:HIR262182 HRR262182:HSN262182 IBN262182:ICJ262182 ILJ262182:IMF262182 IVF262182:IWB262182 JFB262182:JFX262182 JOX262182:JPT262182 JYT262182:JZP262182 KIP262182:KJL262182 KSL262182:KTH262182 LCH262182:LDD262182 LMD262182:LMZ262182 LVZ262182:LWV262182 MFV262182:MGR262182 MPR262182:MQN262182 MZN262182:NAJ262182 NJJ262182:NKF262182 NTF262182:NUB262182 ODB262182:ODX262182 OMX262182:ONT262182 OWT262182:OXP262182 PGP262182:PHL262182 PQL262182:PRH262182 QAH262182:QBD262182 QKD262182:QKZ262182 QTZ262182:QUV262182 RDV262182:RER262182 RNR262182:RON262182 RXN262182:RYJ262182 SHJ262182:SIF262182 SRF262182:SSB262182 TBB262182:TBX262182 TKX262182:TLT262182 TUT262182:TVP262182 UEP262182:UFL262182 UOL262182:UPH262182 UYH262182:UZD262182 VID262182:VIZ262182 VRZ262182:VSV262182 WBV262182:WCR262182 WLR262182:WMN262182 WVN262182:WWJ262182 F327718:AB327718 JB327718:JX327718 SX327718:TT327718 ACT327718:ADP327718 AMP327718:ANL327718 AWL327718:AXH327718 BGH327718:BHD327718 BQD327718:BQZ327718 BZZ327718:CAV327718 CJV327718:CKR327718 CTR327718:CUN327718 DDN327718:DEJ327718 DNJ327718:DOF327718 DXF327718:DYB327718 EHB327718:EHX327718 EQX327718:ERT327718 FAT327718:FBP327718 FKP327718:FLL327718 FUL327718:FVH327718 GEH327718:GFD327718 GOD327718:GOZ327718 GXZ327718:GYV327718 HHV327718:HIR327718 HRR327718:HSN327718 IBN327718:ICJ327718 ILJ327718:IMF327718 IVF327718:IWB327718 JFB327718:JFX327718 JOX327718:JPT327718 JYT327718:JZP327718 KIP327718:KJL327718 KSL327718:KTH327718 LCH327718:LDD327718 LMD327718:LMZ327718 LVZ327718:LWV327718 MFV327718:MGR327718 MPR327718:MQN327718 MZN327718:NAJ327718 NJJ327718:NKF327718 NTF327718:NUB327718 ODB327718:ODX327718 OMX327718:ONT327718 OWT327718:OXP327718 PGP327718:PHL327718 PQL327718:PRH327718 QAH327718:QBD327718 QKD327718:QKZ327718 QTZ327718:QUV327718 RDV327718:RER327718 RNR327718:RON327718 RXN327718:RYJ327718 SHJ327718:SIF327718 SRF327718:SSB327718 TBB327718:TBX327718 TKX327718:TLT327718 TUT327718:TVP327718 UEP327718:UFL327718 UOL327718:UPH327718 UYH327718:UZD327718 VID327718:VIZ327718 VRZ327718:VSV327718 WBV327718:WCR327718 WLR327718:WMN327718 WVN327718:WWJ327718 F393254:AB393254 JB393254:JX393254 SX393254:TT393254 ACT393254:ADP393254 AMP393254:ANL393254 AWL393254:AXH393254 BGH393254:BHD393254 BQD393254:BQZ393254 BZZ393254:CAV393254 CJV393254:CKR393254 CTR393254:CUN393254 DDN393254:DEJ393254 DNJ393254:DOF393254 DXF393254:DYB393254 EHB393254:EHX393254 EQX393254:ERT393254 FAT393254:FBP393254 FKP393254:FLL393254 FUL393254:FVH393254 GEH393254:GFD393254 GOD393254:GOZ393254 GXZ393254:GYV393254 HHV393254:HIR393254 HRR393254:HSN393254 IBN393254:ICJ393254 ILJ393254:IMF393254 IVF393254:IWB393254 JFB393254:JFX393254 JOX393254:JPT393254 JYT393254:JZP393254 KIP393254:KJL393254 KSL393254:KTH393254 LCH393254:LDD393254 LMD393254:LMZ393254 LVZ393254:LWV393254 MFV393254:MGR393254 MPR393254:MQN393254 MZN393254:NAJ393254 NJJ393254:NKF393254 NTF393254:NUB393254 ODB393254:ODX393254 OMX393254:ONT393254 OWT393254:OXP393254 PGP393254:PHL393254 PQL393254:PRH393254 QAH393254:QBD393254 QKD393254:QKZ393254 QTZ393254:QUV393254 RDV393254:RER393254 RNR393254:RON393254 RXN393254:RYJ393254 SHJ393254:SIF393254 SRF393254:SSB393254 TBB393254:TBX393254 TKX393254:TLT393254 TUT393254:TVP393254 UEP393254:UFL393254 UOL393254:UPH393254 UYH393254:UZD393254 VID393254:VIZ393254 VRZ393254:VSV393254 WBV393254:WCR393254 WLR393254:WMN393254 WVN393254:WWJ393254 F458790:AB458790 JB458790:JX458790 SX458790:TT458790 ACT458790:ADP458790 AMP458790:ANL458790 AWL458790:AXH458790 BGH458790:BHD458790 BQD458790:BQZ458790 BZZ458790:CAV458790 CJV458790:CKR458790 CTR458790:CUN458790 DDN458790:DEJ458790 DNJ458790:DOF458790 DXF458790:DYB458790 EHB458790:EHX458790 EQX458790:ERT458790 FAT458790:FBP458790 FKP458790:FLL458790 FUL458790:FVH458790 GEH458790:GFD458790 GOD458790:GOZ458790 GXZ458790:GYV458790 HHV458790:HIR458790 HRR458790:HSN458790 IBN458790:ICJ458790 ILJ458790:IMF458790 IVF458790:IWB458790 JFB458790:JFX458790 JOX458790:JPT458790 JYT458790:JZP458790 KIP458790:KJL458790 KSL458790:KTH458790 LCH458790:LDD458790 LMD458790:LMZ458790 LVZ458790:LWV458790 MFV458790:MGR458790 MPR458790:MQN458790 MZN458790:NAJ458790 NJJ458790:NKF458790 NTF458790:NUB458790 ODB458790:ODX458790 OMX458790:ONT458790 OWT458790:OXP458790 PGP458790:PHL458790 PQL458790:PRH458790 QAH458790:QBD458790 QKD458790:QKZ458790 QTZ458790:QUV458790 RDV458790:RER458790 RNR458790:RON458790 RXN458790:RYJ458790 SHJ458790:SIF458790 SRF458790:SSB458790 TBB458790:TBX458790 TKX458790:TLT458790 TUT458790:TVP458790 UEP458790:UFL458790 UOL458790:UPH458790 UYH458790:UZD458790 VID458790:VIZ458790 VRZ458790:VSV458790 WBV458790:WCR458790 WLR458790:WMN458790 WVN458790:WWJ458790 F524326:AB524326 JB524326:JX524326 SX524326:TT524326 ACT524326:ADP524326 AMP524326:ANL524326 AWL524326:AXH524326 BGH524326:BHD524326 BQD524326:BQZ524326 BZZ524326:CAV524326 CJV524326:CKR524326 CTR524326:CUN524326 DDN524326:DEJ524326 DNJ524326:DOF524326 DXF524326:DYB524326 EHB524326:EHX524326 EQX524326:ERT524326 FAT524326:FBP524326 FKP524326:FLL524326 FUL524326:FVH524326 GEH524326:GFD524326 GOD524326:GOZ524326 GXZ524326:GYV524326 HHV524326:HIR524326 HRR524326:HSN524326 IBN524326:ICJ524326 ILJ524326:IMF524326 IVF524326:IWB524326 JFB524326:JFX524326 JOX524326:JPT524326 JYT524326:JZP524326 KIP524326:KJL524326 KSL524326:KTH524326 LCH524326:LDD524326 LMD524326:LMZ524326 LVZ524326:LWV524326 MFV524326:MGR524326 MPR524326:MQN524326 MZN524326:NAJ524326 NJJ524326:NKF524326 NTF524326:NUB524326 ODB524326:ODX524326 OMX524326:ONT524326 OWT524326:OXP524326 PGP524326:PHL524326 PQL524326:PRH524326 QAH524326:QBD524326 QKD524326:QKZ524326 QTZ524326:QUV524326 RDV524326:RER524326 RNR524326:RON524326 RXN524326:RYJ524326 SHJ524326:SIF524326 SRF524326:SSB524326 TBB524326:TBX524326 TKX524326:TLT524326 TUT524326:TVP524326 UEP524326:UFL524326 UOL524326:UPH524326 UYH524326:UZD524326 VID524326:VIZ524326 VRZ524326:VSV524326 WBV524326:WCR524326 WLR524326:WMN524326 WVN524326:WWJ524326 F589862:AB589862 JB589862:JX589862 SX589862:TT589862 ACT589862:ADP589862 AMP589862:ANL589862 AWL589862:AXH589862 BGH589862:BHD589862 BQD589862:BQZ589862 BZZ589862:CAV589862 CJV589862:CKR589862 CTR589862:CUN589862 DDN589862:DEJ589862 DNJ589862:DOF589862 DXF589862:DYB589862 EHB589862:EHX589862 EQX589862:ERT589862 FAT589862:FBP589862 FKP589862:FLL589862 FUL589862:FVH589862 GEH589862:GFD589862 GOD589862:GOZ589862 GXZ589862:GYV589862 HHV589862:HIR589862 HRR589862:HSN589862 IBN589862:ICJ589862 ILJ589862:IMF589862 IVF589862:IWB589862 JFB589862:JFX589862 JOX589862:JPT589862 JYT589862:JZP589862 KIP589862:KJL589862 KSL589862:KTH589862 LCH589862:LDD589862 LMD589862:LMZ589862 LVZ589862:LWV589862 MFV589862:MGR589862 MPR589862:MQN589862 MZN589862:NAJ589862 NJJ589862:NKF589862 NTF589862:NUB589862 ODB589862:ODX589862 OMX589862:ONT589862 OWT589862:OXP589862 PGP589862:PHL589862 PQL589862:PRH589862 QAH589862:QBD589862 QKD589862:QKZ589862 QTZ589862:QUV589862 RDV589862:RER589862 RNR589862:RON589862 RXN589862:RYJ589862 SHJ589862:SIF589862 SRF589862:SSB589862 TBB589862:TBX589862 TKX589862:TLT589862 TUT589862:TVP589862 UEP589862:UFL589862 UOL589862:UPH589862 UYH589862:UZD589862 VID589862:VIZ589862 VRZ589862:VSV589862 WBV589862:WCR589862 WLR589862:WMN589862 WVN589862:WWJ589862 F655398:AB655398 JB655398:JX655398 SX655398:TT655398 ACT655398:ADP655398 AMP655398:ANL655398 AWL655398:AXH655398 BGH655398:BHD655398 BQD655398:BQZ655398 BZZ655398:CAV655398 CJV655398:CKR655398 CTR655398:CUN655398 DDN655398:DEJ655398 DNJ655398:DOF655398 DXF655398:DYB655398 EHB655398:EHX655398 EQX655398:ERT655398 FAT655398:FBP655398 FKP655398:FLL655398 FUL655398:FVH655398 GEH655398:GFD655398 GOD655398:GOZ655398 GXZ655398:GYV655398 HHV655398:HIR655398 HRR655398:HSN655398 IBN655398:ICJ655398 ILJ655398:IMF655398 IVF655398:IWB655398 JFB655398:JFX655398 JOX655398:JPT655398 JYT655398:JZP655398 KIP655398:KJL655398 KSL655398:KTH655398 LCH655398:LDD655398 LMD655398:LMZ655398 LVZ655398:LWV655398 MFV655398:MGR655398 MPR655398:MQN655398 MZN655398:NAJ655398 NJJ655398:NKF655398 NTF655398:NUB655398 ODB655398:ODX655398 OMX655398:ONT655398 OWT655398:OXP655398 PGP655398:PHL655398 PQL655398:PRH655398 QAH655398:QBD655398 QKD655398:QKZ655398 QTZ655398:QUV655398 RDV655398:RER655398 RNR655398:RON655398 RXN655398:RYJ655398 SHJ655398:SIF655398 SRF655398:SSB655398 TBB655398:TBX655398 TKX655398:TLT655398 TUT655398:TVP655398 UEP655398:UFL655398 UOL655398:UPH655398 UYH655398:UZD655398 VID655398:VIZ655398 VRZ655398:VSV655398 WBV655398:WCR655398 WLR655398:WMN655398 WVN655398:WWJ655398 F720934:AB720934 JB720934:JX720934 SX720934:TT720934 ACT720934:ADP720934 AMP720934:ANL720934 AWL720934:AXH720934 BGH720934:BHD720934 BQD720934:BQZ720934 BZZ720934:CAV720934 CJV720934:CKR720934 CTR720934:CUN720934 DDN720934:DEJ720934 DNJ720934:DOF720934 DXF720934:DYB720934 EHB720934:EHX720934 EQX720934:ERT720934 FAT720934:FBP720934 FKP720934:FLL720934 FUL720934:FVH720934 GEH720934:GFD720934 GOD720934:GOZ720934 GXZ720934:GYV720934 HHV720934:HIR720934 HRR720934:HSN720934 IBN720934:ICJ720934 ILJ720934:IMF720934 IVF720934:IWB720934 JFB720934:JFX720934 JOX720934:JPT720934 JYT720934:JZP720934 KIP720934:KJL720934 KSL720934:KTH720934 LCH720934:LDD720934 LMD720934:LMZ720934 LVZ720934:LWV720934 MFV720934:MGR720934 MPR720934:MQN720934 MZN720934:NAJ720934 NJJ720934:NKF720934 NTF720934:NUB720934 ODB720934:ODX720934 OMX720934:ONT720934 OWT720934:OXP720934 PGP720934:PHL720934 PQL720934:PRH720934 QAH720934:QBD720934 QKD720934:QKZ720934 QTZ720934:QUV720934 RDV720934:RER720934 RNR720934:RON720934 RXN720934:RYJ720934 SHJ720934:SIF720934 SRF720934:SSB720934 TBB720934:TBX720934 TKX720934:TLT720934 TUT720934:TVP720934 UEP720934:UFL720934 UOL720934:UPH720934 UYH720934:UZD720934 VID720934:VIZ720934 VRZ720934:VSV720934 WBV720934:WCR720934 WLR720934:WMN720934 WVN720934:WWJ720934 F786470:AB786470 JB786470:JX786470 SX786470:TT786470 ACT786470:ADP786470 AMP786470:ANL786470 AWL786470:AXH786470 BGH786470:BHD786470 BQD786470:BQZ786470 BZZ786470:CAV786470 CJV786470:CKR786470 CTR786470:CUN786470 DDN786470:DEJ786470 DNJ786470:DOF786470 DXF786470:DYB786470 EHB786470:EHX786470 EQX786470:ERT786470 FAT786470:FBP786470 FKP786470:FLL786470 FUL786470:FVH786470 GEH786470:GFD786470 GOD786470:GOZ786470 GXZ786470:GYV786470 HHV786470:HIR786470 HRR786470:HSN786470 IBN786470:ICJ786470 ILJ786470:IMF786470 IVF786470:IWB786470 JFB786470:JFX786470 JOX786470:JPT786470 JYT786470:JZP786470 KIP786470:KJL786470 KSL786470:KTH786470 LCH786470:LDD786470 LMD786470:LMZ786470 LVZ786470:LWV786470 MFV786470:MGR786470 MPR786470:MQN786470 MZN786470:NAJ786470 NJJ786470:NKF786470 NTF786470:NUB786470 ODB786470:ODX786470 OMX786470:ONT786470 OWT786470:OXP786470 PGP786470:PHL786470 PQL786470:PRH786470 QAH786470:QBD786470 QKD786470:QKZ786470 QTZ786470:QUV786470 RDV786470:RER786470 RNR786470:RON786470 RXN786470:RYJ786470 SHJ786470:SIF786470 SRF786470:SSB786470 TBB786470:TBX786470 TKX786470:TLT786470 TUT786470:TVP786470 UEP786470:UFL786470 UOL786470:UPH786470 UYH786470:UZD786470 VID786470:VIZ786470 VRZ786470:VSV786470 WBV786470:WCR786470 WLR786470:WMN786470 WVN786470:WWJ786470 F852006:AB852006 JB852006:JX852006 SX852006:TT852006 ACT852006:ADP852006 AMP852006:ANL852006 AWL852006:AXH852006 BGH852006:BHD852006 BQD852006:BQZ852006 BZZ852006:CAV852006 CJV852006:CKR852006 CTR852006:CUN852006 DDN852006:DEJ852006 DNJ852006:DOF852006 DXF852006:DYB852006 EHB852006:EHX852006 EQX852006:ERT852006 FAT852006:FBP852006 FKP852006:FLL852006 FUL852006:FVH852006 GEH852006:GFD852006 GOD852006:GOZ852006 GXZ852006:GYV852006 HHV852006:HIR852006 HRR852006:HSN852006 IBN852006:ICJ852006 ILJ852006:IMF852006 IVF852006:IWB852006 JFB852006:JFX852006 JOX852006:JPT852006 JYT852006:JZP852006 KIP852006:KJL852006 KSL852006:KTH852006 LCH852006:LDD852006 LMD852006:LMZ852006 LVZ852006:LWV852006 MFV852006:MGR852006 MPR852006:MQN852006 MZN852006:NAJ852006 NJJ852006:NKF852006 NTF852006:NUB852006 ODB852006:ODX852006 OMX852006:ONT852006 OWT852006:OXP852006 PGP852006:PHL852006 PQL852006:PRH852006 QAH852006:QBD852006 QKD852006:QKZ852006 QTZ852006:QUV852006 RDV852006:RER852006 RNR852006:RON852006 RXN852006:RYJ852006 SHJ852006:SIF852006 SRF852006:SSB852006 TBB852006:TBX852006 TKX852006:TLT852006 TUT852006:TVP852006 UEP852006:UFL852006 UOL852006:UPH852006 UYH852006:UZD852006 VID852006:VIZ852006 VRZ852006:VSV852006 WBV852006:WCR852006 WLR852006:WMN852006 WVN852006:WWJ852006 F917542:AB917542 JB917542:JX917542 SX917542:TT917542 ACT917542:ADP917542 AMP917542:ANL917542 AWL917542:AXH917542 BGH917542:BHD917542 BQD917542:BQZ917542 BZZ917542:CAV917542 CJV917542:CKR917542 CTR917542:CUN917542 DDN917542:DEJ917542 DNJ917542:DOF917542 DXF917542:DYB917542 EHB917542:EHX917542 EQX917542:ERT917542 FAT917542:FBP917542 FKP917542:FLL917542 FUL917542:FVH917542 GEH917542:GFD917542 GOD917542:GOZ917542 GXZ917542:GYV917542 HHV917542:HIR917542 HRR917542:HSN917542 IBN917542:ICJ917542 ILJ917542:IMF917542 IVF917542:IWB917542 JFB917542:JFX917542 JOX917542:JPT917542 JYT917542:JZP917542 KIP917542:KJL917542 KSL917542:KTH917542 LCH917542:LDD917542 LMD917542:LMZ917542 LVZ917542:LWV917542 MFV917542:MGR917542 MPR917542:MQN917542 MZN917542:NAJ917542 NJJ917542:NKF917542 NTF917542:NUB917542 ODB917542:ODX917542 OMX917542:ONT917542 OWT917542:OXP917542 PGP917542:PHL917542 PQL917542:PRH917542 QAH917542:QBD917542 QKD917542:QKZ917542 QTZ917542:QUV917542 RDV917542:RER917542 RNR917542:RON917542 RXN917542:RYJ917542 SHJ917542:SIF917542 SRF917542:SSB917542 TBB917542:TBX917542 TKX917542:TLT917542 TUT917542:TVP917542 UEP917542:UFL917542 UOL917542:UPH917542 UYH917542:UZD917542 VID917542:VIZ917542 VRZ917542:VSV917542 WBV917542:WCR917542 WLR917542:WMN917542 WVN917542:WWJ917542 F983078:AB983078 JB983078:JX983078 SX983078:TT983078 ACT983078:ADP983078 AMP983078:ANL983078 AWL983078:AXH983078 BGH983078:BHD983078 BQD983078:BQZ983078 BZZ983078:CAV983078 CJV983078:CKR983078 CTR983078:CUN983078 DDN983078:DEJ983078 DNJ983078:DOF983078 DXF983078:DYB983078 EHB983078:EHX983078 EQX983078:ERT983078 FAT983078:FBP983078 FKP983078:FLL983078 FUL983078:FVH983078 GEH983078:GFD983078 GOD983078:GOZ983078 GXZ983078:GYV983078 HHV983078:HIR983078 HRR983078:HSN983078 IBN983078:ICJ983078 ILJ983078:IMF983078 IVF983078:IWB983078 JFB983078:JFX983078 JOX983078:JPT983078 JYT983078:JZP983078 KIP983078:KJL983078 KSL983078:KTH983078 LCH983078:LDD983078 LMD983078:LMZ983078 LVZ983078:LWV983078 MFV983078:MGR983078 MPR983078:MQN983078 MZN983078:NAJ983078 NJJ983078:NKF983078 NTF983078:NUB983078 ODB983078:ODX983078 OMX983078:ONT983078 OWT983078:OXP983078 PGP983078:PHL983078 PQL983078:PRH983078 QAH983078:QBD983078 QKD983078:QKZ983078 QTZ983078:QUV983078 RDV983078:RER983078 RNR983078:RON983078 RXN983078:RYJ983078 SHJ983078:SIF983078 SRF983078:SSB983078 TBB983078:TBX983078 TKX983078:TLT983078 TUT983078:TVP983078 UEP983078:UFL983078 UOL983078:UPH983078 UYH983078:UZD983078 VID983078:VIZ983078 VRZ983078:VSV983078 WBV983078:WCR983078 WLR983078:WMN983078 WVN983078:WWJ983078 AD39:AG39 JZ39:KC39 TV39:TY39 ADR39:ADU39 ANN39:ANQ39 AXJ39:AXM39 BHF39:BHI39 BRB39:BRE39 CAX39:CBA39 CKT39:CKW39 CUP39:CUS39 DEL39:DEO39 DOH39:DOK39 DYD39:DYG39 EHZ39:EIC39 ERV39:ERY39 FBR39:FBU39 FLN39:FLQ39 FVJ39:FVM39 GFF39:GFI39 GPB39:GPE39 GYX39:GZA39 HIT39:HIW39 HSP39:HSS39 ICL39:ICO39 IMH39:IMK39 IWD39:IWG39 JFZ39:JGC39 JPV39:JPY39 JZR39:JZU39 KJN39:KJQ39 KTJ39:KTM39 LDF39:LDI39 LNB39:LNE39 LWX39:LXA39 MGT39:MGW39 MQP39:MQS39 NAL39:NAO39 NKH39:NKK39 NUD39:NUG39 ODZ39:OEC39 ONV39:ONY39 OXR39:OXU39 PHN39:PHQ39 PRJ39:PRM39 QBF39:QBI39 QLB39:QLE39 QUX39:QVA39 RET39:REW39 ROP39:ROS39 RYL39:RYO39 SIH39:SIK39 SSD39:SSG39 TBZ39:TCC39 TLV39:TLY39 TVR39:TVU39 UFN39:UFQ39 UPJ39:UPM39 UZF39:UZI39 VJB39:VJE39 VSX39:VTA39 WCT39:WCW39 WMP39:WMS39 WWL39:WWO39 AD65574:AG65574 JZ65574:KC65574 TV65574:TY65574 ADR65574:ADU65574 ANN65574:ANQ65574 AXJ65574:AXM65574 BHF65574:BHI65574 BRB65574:BRE65574 CAX65574:CBA65574 CKT65574:CKW65574 CUP65574:CUS65574 DEL65574:DEO65574 DOH65574:DOK65574 DYD65574:DYG65574 EHZ65574:EIC65574 ERV65574:ERY65574 FBR65574:FBU65574 FLN65574:FLQ65574 FVJ65574:FVM65574 GFF65574:GFI65574 GPB65574:GPE65574 GYX65574:GZA65574 HIT65574:HIW65574 HSP65574:HSS65574 ICL65574:ICO65574 IMH65574:IMK65574 IWD65574:IWG65574 JFZ65574:JGC65574 JPV65574:JPY65574 JZR65574:JZU65574 KJN65574:KJQ65574 KTJ65574:KTM65574 LDF65574:LDI65574 LNB65574:LNE65574 LWX65574:LXA65574 MGT65574:MGW65574 MQP65574:MQS65574 NAL65574:NAO65574 NKH65574:NKK65574 NUD65574:NUG65574 ODZ65574:OEC65574 ONV65574:ONY65574 OXR65574:OXU65574 PHN65574:PHQ65574 PRJ65574:PRM65574 QBF65574:QBI65574 QLB65574:QLE65574 QUX65574:QVA65574 RET65574:REW65574 ROP65574:ROS65574 RYL65574:RYO65574 SIH65574:SIK65574 SSD65574:SSG65574 TBZ65574:TCC65574 TLV65574:TLY65574 TVR65574:TVU65574 UFN65574:UFQ65574 UPJ65574:UPM65574 UZF65574:UZI65574 VJB65574:VJE65574 VSX65574:VTA65574 WCT65574:WCW65574 WMP65574:WMS65574 WWL65574:WWO65574 AD131110:AG131110 JZ131110:KC131110 TV131110:TY131110 ADR131110:ADU131110 ANN131110:ANQ131110 AXJ131110:AXM131110 BHF131110:BHI131110 BRB131110:BRE131110 CAX131110:CBA131110 CKT131110:CKW131110 CUP131110:CUS131110 DEL131110:DEO131110 DOH131110:DOK131110 DYD131110:DYG131110 EHZ131110:EIC131110 ERV131110:ERY131110 FBR131110:FBU131110 FLN131110:FLQ131110 FVJ131110:FVM131110 GFF131110:GFI131110 GPB131110:GPE131110 GYX131110:GZA131110 HIT131110:HIW131110 HSP131110:HSS131110 ICL131110:ICO131110 IMH131110:IMK131110 IWD131110:IWG131110 JFZ131110:JGC131110 JPV131110:JPY131110 JZR131110:JZU131110 KJN131110:KJQ131110 KTJ131110:KTM131110 LDF131110:LDI131110 LNB131110:LNE131110 LWX131110:LXA131110 MGT131110:MGW131110 MQP131110:MQS131110 NAL131110:NAO131110 NKH131110:NKK131110 NUD131110:NUG131110 ODZ131110:OEC131110 ONV131110:ONY131110 OXR131110:OXU131110 PHN131110:PHQ131110 PRJ131110:PRM131110 QBF131110:QBI131110 QLB131110:QLE131110 QUX131110:QVA131110 RET131110:REW131110 ROP131110:ROS131110 RYL131110:RYO131110 SIH131110:SIK131110 SSD131110:SSG131110 TBZ131110:TCC131110 TLV131110:TLY131110 TVR131110:TVU131110 UFN131110:UFQ131110 UPJ131110:UPM131110 UZF131110:UZI131110 VJB131110:VJE131110 VSX131110:VTA131110 WCT131110:WCW131110 WMP131110:WMS131110 WWL131110:WWO131110 AD196646:AG196646 JZ196646:KC196646 TV196646:TY196646 ADR196646:ADU196646 ANN196646:ANQ196646 AXJ196646:AXM196646 BHF196646:BHI196646 BRB196646:BRE196646 CAX196646:CBA196646 CKT196646:CKW196646 CUP196646:CUS196646 DEL196646:DEO196646 DOH196646:DOK196646 DYD196646:DYG196646 EHZ196646:EIC196646 ERV196646:ERY196646 FBR196646:FBU196646 FLN196646:FLQ196646 FVJ196646:FVM196646 GFF196646:GFI196646 GPB196646:GPE196646 GYX196646:GZA196646 HIT196646:HIW196646 HSP196646:HSS196646 ICL196646:ICO196646 IMH196646:IMK196646 IWD196646:IWG196646 JFZ196646:JGC196646 JPV196646:JPY196646 JZR196646:JZU196646 KJN196646:KJQ196646 KTJ196646:KTM196646 LDF196646:LDI196646 LNB196646:LNE196646 LWX196646:LXA196646 MGT196646:MGW196646 MQP196646:MQS196646 NAL196646:NAO196646 NKH196646:NKK196646 NUD196646:NUG196646 ODZ196646:OEC196646 ONV196646:ONY196646 OXR196646:OXU196646 PHN196646:PHQ196646 PRJ196646:PRM196646 QBF196646:QBI196646 QLB196646:QLE196646 QUX196646:QVA196646 RET196646:REW196646 ROP196646:ROS196646 RYL196646:RYO196646 SIH196646:SIK196646 SSD196646:SSG196646 TBZ196646:TCC196646 TLV196646:TLY196646 TVR196646:TVU196646 UFN196646:UFQ196646 UPJ196646:UPM196646 UZF196646:UZI196646 VJB196646:VJE196646 VSX196646:VTA196646 WCT196646:WCW196646 WMP196646:WMS196646 WWL196646:WWO196646 AD262182:AG262182 JZ262182:KC262182 TV262182:TY262182 ADR262182:ADU262182 ANN262182:ANQ262182 AXJ262182:AXM262182 BHF262182:BHI262182 BRB262182:BRE262182 CAX262182:CBA262182 CKT262182:CKW262182 CUP262182:CUS262182 DEL262182:DEO262182 DOH262182:DOK262182 DYD262182:DYG262182 EHZ262182:EIC262182 ERV262182:ERY262182 FBR262182:FBU262182 FLN262182:FLQ262182 FVJ262182:FVM262182 GFF262182:GFI262182 GPB262182:GPE262182 GYX262182:GZA262182 HIT262182:HIW262182 HSP262182:HSS262182 ICL262182:ICO262182 IMH262182:IMK262182 IWD262182:IWG262182 JFZ262182:JGC262182 JPV262182:JPY262182 JZR262182:JZU262182 KJN262182:KJQ262182 KTJ262182:KTM262182 LDF262182:LDI262182 LNB262182:LNE262182 LWX262182:LXA262182 MGT262182:MGW262182 MQP262182:MQS262182 NAL262182:NAO262182 NKH262182:NKK262182 NUD262182:NUG262182 ODZ262182:OEC262182 ONV262182:ONY262182 OXR262182:OXU262182 PHN262182:PHQ262182 PRJ262182:PRM262182 QBF262182:QBI262182 QLB262182:QLE262182 QUX262182:QVA262182 RET262182:REW262182 ROP262182:ROS262182 RYL262182:RYO262182 SIH262182:SIK262182 SSD262182:SSG262182 TBZ262182:TCC262182 TLV262182:TLY262182 TVR262182:TVU262182 UFN262182:UFQ262182 UPJ262182:UPM262182 UZF262182:UZI262182 VJB262182:VJE262182 VSX262182:VTA262182 WCT262182:WCW262182 WMP262182:WMS262182 WWL262182:WWO262182 AD327718:AG327718 JZ327718:KC327718 TV327718:TY327718 ADR327718:ADU327718 ANN327718:ANQ327718 AXJ327718:AXM327718 BHF327718:BHI327718 BRB327718:BRE327718 CAX327718:CBA327718 CKT327718:CKW327718 CUP327718:CUS327718 DEL327718:DEO327718 DOH327718:DOK327718 DYD327718:DYG327718 EHZ327718:EIC327718 ERV327718:ERY327718 FBR327718:FBU327718 FLN327718:FLQ327718 FVJ327718:FVM327718 GFF327718:GFI327718 GPB327718:GPE327718 GYX327718:GZA327718 HIT327718:HIW327718 HSP327718:HSS327718 ICL327718:ICO327718 IMH327718:IMK327718 IWD327718:IWG327718 JFZ327718:JGC327718 JPV327718:JPY327718 JZR327718:JZU327718 KJN327718:KJQ327718 KTJ327718:KTM327718 LDF327718:LDI327718 LNB327718:LNE327718 LWX327718:LXA327718 MGT327718:MGW327718 MQP327718:MQS327718 NAL327718:NAO327718 NKH327718:NKK327718 NUD327718:NUG327718 ODZ327718:OEC327718 ONV327718:ONY327718 OXR327718:OXU327718 PHN327718:PHQ327718 PRJ327718:PRM327718 QBF327718:QBI327718 QLB327718:QLE327718 QUX327718:QVA327718 RET327718:REW327718 ROP327718:ROS327718 RYL327718:RYO327718 SIH327718:SIK327718 SSD327718:SSG327718 TBZ327718:TCC327718 TLV327718:TLY327718 TVR327718:TVU327718 UFN327718:UFQ327718 UPJ327718:UPM327718 UZF327718:UZI327718 VJB327718:VJE327718 VSX327718:VTA327718 WCT327718:WCW327718 WMP327718:WMS327718 WWL327718:WWO327718 AD393254:AG393254 JZ393254:KC393254 TV393254:TY393254 ADR393254:ADU393254 ANN393254:ANQ393254 AXJ393254:AXM393254 BHF393254:BHI393254 BRB393254:BRE393254 CAX393254:CBA393254 CKT393254:CKW393254 CUP393254:CUS393254 DEL393254:DEO393254 DOH393254:DOK393254 DYD393254:DYG393254 EHZ393254:EIC393254 ERV393254:ERY393254 FBR393254:FBU393254 FLN393254:FLQ393254 FVJ393254:FVM393254 GFF393254:GFI393254 GPB393254:GPE393254 GYX393254:GZA393254 HIT393254:HIW393254 HSP393254:HSS393254 ICL393254:ICO393254 IMH393254:IMK393254 IWD393254:IWG393254 JFZ393254:JGC393254 JPV393254:JPY393254 JZR393254:JZU393254 KJN393254:KJQ393254 KTJ393254:KTM393254 LDF393254:LDI393254 LNB393254:LNE393254 LWX393254:LXA393254 MGT393254:MGW393254 MQP393254:MQS393254 NAL393254:NAO393254 NKH393254:NKK393254 NUD393254:NUG393254 ODZ393254:OEC393254 ONV393254:ONY393254 OXR393254:OXU393254 PHN393254:PHQ393254 PRJ393254:PRM393254 QBF393254:QBI393254 QLB393254:QLE393254 QUX393254:QVA393254 RET393254:REW393254 ROP393254:ROS393254 RYL393254:RYO393254 SIH393254:SIK393254 SSD393254:SSG393254 TBZ393254:TCC393254 TLV393254:TLY393254 TVR393254:TVU393254 UFN393254:UFQ393254 UPJ393254:UPM393254 UZF393254:UZI393254 VJB393254:VJE393254 VSX393254:VTA393254 WCT393254:WCW393254 WMP393254:WMS393254 WWL393254:WWO393254 AD458790:AG458790 JZ458790:KC458790 TV458790:TY458790 ADR458790:ADU458790 ANN458790:ANQ458790 AXJ458790:AXM458790 BHF458790:BHI458790 BRB458790:BRE458790 CAX458790:CBA458790 CKT458790:CKW458790 CUP458790:CUS458790 DEL458790:DEO458790 DOH458790:DOK458790 DYD458790:DYG458790 EHZ458790:EIC458790 ERV458790:ERY458790 FBR458790:FBU458790 FLN458790:FLQ458790 FVJ458790:FVM458790 GFF458790:GFI458790 GPB458790:GPE458790 GYX458790:GZA458790 HIT458790:HIW458790 HSP458790:HSS458790 ICL458790:ICO458790 IMH458790:IMK458790 IWD458790:IWG458790 JFZ458790:JGC458790 JPV458790:JPY458790 JZR458790:JZU458790 KJN458790:KJQ458790 KTJ458790:KTM458790 LDF458790:LDI458790 LNB458790:LNE458790 LWX458790:LXA458790 MGT458790:MGW458790 MQP458790:MQS458790 NAL458790:NAO458790 NKH458790:NKK458790 NUD458790:NUG458790 ODZ458790:OEC458790 ONV458790:ONY458790 OXR458790:OXU458790 PHN458790:PHQ458790 PRJ458790:PRM458790 QBF458790:QBI458790 QLB458790:QLE458790 QUX458790:QVA458790 RET458790:REW458790 ROP458790:ROS458790 RYL458790:RYO458790 SIH458790:SIK458790 SSD458790:SSG458790 TBZ458790:TCC458790 TLV458790:TLY458790 TVR458790:TVU458790 UFN458790:UFQ458790 UPJ458790:UPM458790 UZF458790:UZI458790 VJB458790:VJE458790 VSX458790:VTA458790 WCT458790:WCW458790 WMP458790:WMS458790 WWL458790:WWO458790 AD524326:AG524326 JZ524326:KC524326 TV524326:TY524326 ADR524326:ADU524326 ANN524326:ANQ524326 AXJ524326:AXM524326 BHF524326:BHI524326 BRB524326:BRE524326 CAX524326:CBA524326 CKT524326:CKW524326 CUP524326:CUS524326 DEL524326:DEO524326 DOH524326:DOK524326 DYD524326:DYG524326 EHZ524326:EIC524326 ERV524326:ERY524326 FBR524326:FBU524326 FLN524326:FLQ524326 FVJ524326:FVM524326 GFF524326:GFI524326 GPB524326:GPE524326 GYX524326:GZA524326 HIT524326:HIW524326 HSP524326:HSS524326 ICL524326:ICO524326 IMH524326:IMK524326 IWD524326:IWG524326 JFZ524326:JGC524326 JPV524326:JPY524326 JZR524326:JZU524326 KJN524326:KJQ524326 KTJ524326:KTM524326 LDF524326:LDI524326 LNB524326:LNE524326 LWX524326:LXA524326 MGT524326:MGW524326 MQP524326:MQS524326 NAL524326:NAO524326 NKH524326:NKK524326 NUD524326:NUG524326 ODZ524326:OEC524326 ONV524326:ONY524326 OXR524326:OXU524326 PHN524326:PHQ524326 PRJ524326:PRM524326 QBF524326:QBI524326 QLB524326:QLE524326 QUX524326:QVA524326 RET524326:REW524326 ROP524326:ROS524326 RYL524326:RYO524326 SIH524326:SIK524326 SSD524326:SSG524326 TBZ524326:TCC524326 TLV524326:TLY524326 TVR524326:TVU524326 UFN524326:UFQ524326 UPJ524326:UPM524326 UZF524326:UZI524326 VJB524326:VJE524326 VSX524326:VTA524326 WCT524326:WCW524326 WMP524326:WMS524326 WWL524326:WWO524326 AD589862:AG589862 JZ589862:KC589862 TV589862:TY589862 ADR589862:ADU589862 ANN589862:ANQ589862 AXJ589862:AXM589862 BHF589862:BHI589862 BRB589862:BRE589862 CAX589862:CBA589862 CKT589862:CKW589862 CUP589862:CUS589862 DEL589862:DEO589862 DOH589862:DOK589862 DYD589862:DYG589862 EHZ589862:EIC589862 ERV589862:ERY589862 FBR589862:FBU589862 FLN589862:FLQ589862 FVJ589862:FVM589862 GFF589862:GFI589862 GPB589862:GPE589862 GYX589862:GZA589862 HIT589862:HIW589862 HSP589862:HSS589862 ICL589862:ICO589862 IMH589862:IMK589862 IWD589862:IWG589862 JFZ589862:JGC589862 JPV589862:JPY589862 JZR589862:JZU589862 KJN589862:KJQ589862 KTJ589862:KTM589862 LDF589862:LDI589862 LNB589862:LNE589862 LWX589862:LXA589862 MGT589862:MGW589862 MQP589862:MQS589862 NAL589862:NAO589862 NKH589862:NKK589862 NUD589862:NUG589862 ODZ589862:OEC589862 ONV589862:ONY589862 OXR589862:OXU589862 PHN589862:PHQ589862 PRJ589862:PRM589862 QBF589862:QBI589862 QLB589862:QLE589862 QUX589862:QVA589862 RET589862:REW589862 ROP589862:ROS589862 RYL589862:RYO589862 SIH589862:SIK589862 SSD589862:SSG589862 TBZ589862:TCC589862 TLV589862:TLY589862 TVR589862:TVU589862 UFN589862:UFQ589862 UPJ589862:UPM589862 UZF589862:UZI589862 VJB589862:VJE589862 VSX589862:VTA589862 WCT589862:WCW589862 WMP589862:WMS589862 WWL589862:WWO589862 AD655398:AG655398 JZ655398:KC655398 TV655398:TY655398 ADR655398:ADU655398 ANN655398:ANQ655398 AXJ655398:AXM655398 BHF655398:BHI655398 BRB655398:BRE655398 CAX655398:CBA655398 CKT655398:CKW655398 CUP655398:CUS655398 DEL655398:DEO655398 DOH655398:DOK655398 DYD655398:DYG655398 EHZ655398:EIC655398 ERV655398:ERY655398 FBR655398:FBU655398 FLN655398:FLQ655398 FVJ655398:FVM655398 GFF655398:GFI655398 GPB655398:GPE655398 GYX655398:GZA655398 HIT655398:HIW655398 HSP655398:HSS655398 ICL655398:ICO655398 IMH655398:IMK655398 IWD655398:IWG655398 JFZ655398:JGC655398 JPV655398:JPY655398 JZR655398:JZU655398 KJN655398:KJQ655398 KTJ655398:KTM655398 LDF655398:LDI655398 LNB655398:LNE655398 LWX655398:LXA655398 MGT655398:MGW655398 MQP655398:MQS655398 NAL655398:NAO655398 NKH655398:NKK655398 NUD655398:NUG655398 ODZ655398:OEC655398 ONV655398:ONY655398 OXR655398:OXU655398 PHN655398:PHQ655398 PRJ655398:PRM655398 QBF655398:QBI655398 QLB655398:QLE655398 QUX655398:QVA655398 RET655398:REW655398 ROP655398:ROS655398 RYL655398:RYO655398 SIH655398:SIK655398 SSD655398:SSG655398 TBZ655398:TCC655398 TLV655398:TLY655398 TVR655398:TVU655398 UFN655398:UFQ655398 UPJ655398:UPM655398 UZF655398:UZI655398 VJB655398:VJE655398 VSX655398:VTA655398 WCT655398:WCW655398 WMP655398:WMS655398 WWL655398:WWO655398 AD720934:AG720934 JZ720934:KC720934 TV720934:TY720934 ADR720934:ADU720934 ANN720934:ANQ720934 AXJ720934:AXM720934 BHF720934:BHI720934 BRB720934:BRE720934 CAX720934:CBA720934 CKT720934:CKW720934 CUP720934:CUS720934 DEL720934:DEO720934 DOH720934:DOK720934 DYD720934:DYG720934 EHZ720934:EIC720934 ERV720934:ERY720934 FBR720934:FBU720934 FLN720934:FLQ720934 FVJ720934:FVM720934 GFF720934:GFI720934 GPB720934:GPE720934 GYX720934:GZA720934 HIT720934:HIW720934 HSP720934:HSS720934 ICL720934:ICO720934 IMH720934:IMK720934 IWD720934:IWG720934 JFZ720934:JGC720934 JPV720934:JPY720934 JZR720934:JZU720934 KJN720934:KJQ720934 KTJ720934:KTM720934 LDF720934:LDI720934 LNB720934:LNE720934 LWX720934:LXA720934 MGT720934:MGW720934 MQP720934:MQS720934 NAL720934:NAO720934 NKH720934:NKK720934 NUD720934:NUG720934 ODZ720934:OEC720934 ONV720934:ONY720934 OXR720934:OXU720934 PHN720934:PHQ720934 PRJ720934:PRM720934 QBF720934:QBI720934 QLB720934:QLE720934 QUX720934:QVA720934 RET720934:REW720934 ROP720934:ROS720934 RYL720934:RYO720934 SIH720934:SIK720934 SSD720934:SSG720934 TBZ720934:TCC720934 TLV720934:TLY720934 TVR720934:TVU720934 UFN720934:UFQ720934 UPJ720934:UPM720934 UZF720934:UZI720934 VJB720934:VJE720934 VSX720934:VTA720934 WCT720934:WCW720934 WMP720934:WMS720934 WWL720934:WWO720934 AD786470:AG786470 JZ786470:KC786470 TV786470:TY786470 ADR786470:ADU786470 ANN786470:ANQ786470 AXJ786470:AXM786470 BHF786470:BHI786470 BRB786470:BRE786470 CAX786470:CBA786470 CKT786470:CKW786470 CUP786470:CUS786470 DEL786470:DEO786470 DOH786470:DOK786470 DYD786470:DYG786470 EHZ786470:EIC786470 ERV786470:ERY786470 FBR786470:FBU786470 FLN786470:FLQ786470 FVJ786470:FVM786470 GFF786470:GFI786470 GPB786470:GPE786470 GYX786470:GZA786470 HIT786470:HIW786470 HSP786470:HSS786470 ICL786470:ICO786470 IMH786470:IMK786470 IWD786470:IWG786470 JFZ786470:JGC786470 JPV786470:JPY786470 JZR786470:JZU786470 KJN786470:KJQ786470 KTJ786470:KTM786470 LDF786470:LDI786470 LNB786470:LNE786470 LWX786470:LXA786470 MGT786470:MGW786470 MQP786470:MQS786470 NAL786470:NAO786470 NKH786470:NKK786470 NUD786470:NUG786470 ODZ786470:OEC786470 ONV786470:ONY786470 OXR786470:OXU786470 PHN786470:PHQ786470 PRJ786470:PRM786470 QBF786470:QBI786470 QLB786470:QLE786470 QUX786470:QVA786470 RET786470:REW786470 ROP786470:ROS786470 RYL786470:RYO786470 SIH786470:SIK786470 SSD786470:SSG786470 TBZ786470:TCC786470 TLV786470:TLY786470 TVR786470:TVU786470 UFN786470:UFQ786470 UPJ786470:UPM786470 UZF786470:UZI786470 VJB786470:VJE786470 VSX786470:VTA786470 WCT786470:WCW786470 WMP786470:WMS786470 WWL786470:WWO786470 AD852006:AG852006 JZ852006:KC852006 TV852006:TY852006 ADR852006:ADU852006 ANN852006:ANQ852006 AXJ852006:AXM852006 BHF852006:BHI852006 BRB852006:BRE852006 CAX852006:CBA852006 CKT852006:CKW852006 CUP852006:CUS852006 DEL852006:DEO852006 DOH852006:DOK852006 DYD852006:DYG852006 EHZ852006:EIC852006 ERV852006:ERY852006 FBR852006:FBU852006 FLN852006:FLQ852006 FVJ852006:FVM852006 GFF852006:GFI852006 GPB852006:GPE852006 GYX852006:GZA852006 HIT852006:HIW852006 HSP852006:HSS852006 ICL852006:ICO852006 IMH852006:IMK852006 IWD852006:IWG852006 JFZ852006:JGC852006 JPV852006:JPY852006 JZR852006:JZU852006 KJN852006:KJQ852006 KTJ852006:KTM852006 LDF852006:LDI852006 LNB852006:LNE852006 LWX852006:LXA852006 MGT852006:MGW852006 MQP852006:MQS852006 NAL852006:NAO852006 NKH852006:NKK852006 NUD852006:NUG852006 ODZ852006:OEC852006 ONV852006:ONY852006 OXR852006:OXU852006 PHN852006:PHQ852006 PRJ852006:PRM852006 QBF852006:QBI852006 QLB852006:QLE852006 QUX852006:QVA852006 RET852006:REW852006 ROP852006:ROS852006 RYL852006:RYO852006 SIH852006:SIK852006 SSD852006:SSG852006 TBZ852006:TCC852006 TLV852006:TLY852006 TVR852006:TVU852006 UFN852006:UFQ852006 UPJ852006:UPM852006 UZF852006:UZI852006 VJB852006:VJE852006 VSX852006:VTA852006 WCT852006:WCW852006 WMP852006:WMS852006 WWL852006:WWO852006 AD917542:AG917542 JZ917542:KC917542 TV917542:TY917542 ADR917542:ADU917542 ANN917542:ANQ917542 AXJ917542:AXM917542 BHF917542:BHI917542 BRB917542:BRE917542 CAX917542:CBA917542 CKT917542:CKW917542 CUP917542:CUS917542 DEL917542:DEO917542 DOH917542:DOK917542 DYD917542:DYG917542 EHZ917542:EIC917542 ERV917542:ERY917542 FBR917542:FBU917542 FLN917542:FLQ917542 FVJ917542:FVM917542 GFF917542:GFI917542 GPB917542:GPE917542 GYX917542:GZA917542 HIT917542:HIW917542 HSP917542:HSS917542 ICL917542:ICO917542 IMH917542:IMK917542 IWD917542:IWG917542 JFZ917542:JGC917542 JPV917542:JPY917542 JZR917542:JZU917542 KJN917542:KJQ917542 KTJ917542:KTM917542 LDF917542:LDI917542 LNB917542:LNE917542 LWX917542:LXA917542 MGT917542:MGW917542 MQP917542:MQS917542 NAL917542:NAO917542 NKH917542:NKK917542 NUD917542:NUG917542 ODZ917542:OEC917542 ONV917542:ONY917542 OXR917542:OXU917542 PHN917542:PHQ917542 PRJ917542:PRM917542 QBF917542:QBI917542 QLB917542:QLE917542 QUX917542:QVA917542 RET917542:REW917542 ROP917542:ROS917542 RYL917542:RYO917542 SIH917542:SIK917542 SSD917542:SSG917542 TBZ917542:TCC917542 TLV917542:TLY917542 TVR917542:TVU917542 UFN917542:UFQ917542 UPJ917542:UPM917542 UZF917542:UZI917542 VJB917542:VJE917542 VSX917542:VTA917542 WCT917542:WCW917542 WMP917542:WMS917542 WWL917542:WWO917542 AD983078:AG983078 JZ983078:KC983078 TV983078:TY983078 ADR983078:ADU983078 ANN983078:ANQ983078 AXJ983078:AXM983078 BHF983078:BHI983078 BRB983078:BRE983078 CAX983078:CBA983078 CKT983078:CKW983078 CUP983078:CUS983078 DEL983078:DEO983078 DOH983078:DOK983078 DYD983078:DYG983078 EHZ983078:EIC983078 ERV983078:ERY983078 FBR983078:FBU983078 FLN983078:FLQ983078 FVJ983078:FVM983078 GFF983078:GFI983078 GPB983078:GPE983078 GYX983078:GZA983078 HIT983078:HIW983078 HSP983078:HSS983078 ICL983078:ICO983078 IMH983078:IMK983078 IWD983078:IWG983078 JFZ983078:JGC983078 JPV983078:JPY983078 JZR983078:JZU983078 KJN983078:KJQ983078 KTJ983078:KTM983078 LDF983078:LDI983078 LNB983078:LNE983078 LWX983078:LXA983078 MGT983078:MGW983078 MQP983078:MQS983078 NAL983078:NAO983078 NKH983078:NKK983078 NUD983078:NUG983078 ODZ983078:OEC983078 ONV983078:ONY983078 OXR983078:OXU983078 PHN983078:PHQ983078 PRJ983078:PRM983078 QBF983078:QBI983078 QLB983078:QLE983078 QUX983078:QVA983078 RET983078:REW983078 ROP983078:ROS983078 RYL983078:RYO983078 SIH983078:SIK983078 SSD983078:SSG983078 TBZ983078:TCC983078 TLV983078:TLY983078 TVR983078:TVU983078 UFN983078:UFQ983078 UPJ983078:UPM983078 UZF983078:UZI983078 VJB983078:VJE983078 VSX983078:VTA983078 WCT983078:WCW983078 WMP983078:WMS983078 WWL983078:WWO983078 WVT983064:WWF983064 JH25:JT25 TD25:TP25 ACZ25:ADL25 AMV25:ANH25 AWR25:AXD25 BGN25:BGZ25 BQJ25:BQV25 CAF25:CAR25 CKB25:CKN25 CTX25:CUJ25 DDT25:DEF25 DNP25:DOB25 DXL25:DXX25 EHH25:EHT25 ERD25:ERP25 FAZ25:FBL25 FKV25:FLH25 FUR25:FVD25 GEN25:GEZ25 GOJ25:GOV25 GYF25:GYR25 HIB25:HIN25 HRX25:HSJ25 IBT25:ICF25 ILP25:IMB25 IVL25:IVX25 JFH25:JFT25 JPD25:JPP25 JYZ25:JZL25 KIV25:KJH25 KSR25:KTD25 LCN25:LCZ25 LMJ25:LMV25 LWF25:LWR25 MGB25:MGN25 MPX25:MQJ25 MZT25:NAF25 NJP25:NKB25 NTL25:NTX25 ODH25:ODT25 OND25:ONP25 OWZ25:OXL25 PGV25:PHH25 PQR25:PRD25 QAN25:QAZ25 QKJ25:QKV25 QUF25:QUR25 REB25:REN25 RNX25:ROJ25 RXT25:RYF25 SHP25:SIB25 SRL25:SRX25 TBH25:TBT25 TLD25:TLP25 TUZ25:TVL25 UEV25:UFH25 UOR25:UPD25 UYN25:UYZ25 VIJ25:VIV25 VSF25:VSR25 WCB25:WCN25 WLX25:WMJ25 WVT25:WWF25 L65560:X65560 JH65560:JT65560 TD65560:TP65560 ACZ65560:ADL65560 AMV65560:ANH65560 AWR65560:AXD65560 BGN65560:BGZ65560 BQJ65560:BQV65560 CAF65560:CAR65560 CKB65560:CKN65560 CTX65560:CUJ65560 DDT65560:DEF65560 DNP65560:DOB65560 DXL65560:DXX65560 EHH65560:EHT65560 ERD65560:ERP65560 FAZ65560:FBL65560 FKV65560:FLH65560 FUR65560:FVD65560 GEN65560:GEZ65560 GOJ65560:GOV65560 GYF65560:GYR65560 HIB65560:HIN65560 HRX65560:HSJ65560 IBT65560:ICF65560 ILP65560:IMB65560 IVL65560:IVX65560 JFH65560:JFT65560 JPD65560:JPP65560 JYZ65560:JZL65560 KIV65560:KJH65560 KSR65560:KTD65560 LCN65560:LCZ65560 LMJ65560:LMV65560 LWF65560:LWR65560 MGB65560:MGN65560 MPX65560:MQJ65560 MZT65560:NAF65560 NJP65560:NKB65560 NTL65560:NTX65560 ODH65560:ODT65560 OND65560:ONP65560 OWZ65560:OXL65560 PGV65560:PHH65560 PQR65560:PRD65560 QAN65560:QAZ65560 QKJ65560:QKV65560 QUF65560:QUR65560 REB65560:REN65560 RNX65560:ROJ65560 RXT65560:RYF65560 SHP65560:SIB65560 SRL65560:SRX65560 TBH65560:TBT65560 TLD65560:TLP65560 TUZ65560:TVL65560 UEV65560:UFH65560 UOR65560:UPD65560 UYN65560:UYZ65560 VIJ65560:VIV65560 VSF65560:VSR65560 WCB65560:WCN65560 WLX65560:WMJ65560 WVT65560:WWF65560 L131096:X131096 JH131096:JT131096 TD131096:TP131096 ACZ131096:ADL131096 AMV131096:ANH131096 AWR131096:AXD131096 BGN131096:BGZ131096 BQJ131096:BQV131096 CAF131096:CAR131096 CKB131096:CKN131096 CTX131096:CUJ131096 DDT131096:DEF131096 DNP131096:DOB131096 DXL131096:DXX131096 EHH131096:EHT131096 ERD131096:ERP131096 FAZ131096:FBL131096 FKV131096:FLH131096 FUR131096:FVD131096 GEN131096:GEZ131096 GOJ131096:GOV131096 GYF131096:GYR131096 HIB131096:HIN131096 HRX131096:HSJ131096 IBT131096:ICF131096 ILP131096:IMB131096 IVL131096:IVX131096 JFH131096:JFT131096 JPD131096:JPP131096 JYZ131096:JZL131096 KIV131096:KJH131096 KSR131096:KTD131096 LCN131096:LCZ131096 LMJ131096:LMV131096 LWF131096:LWR131096 MGB131096:MGN131096 MPX131096:MQJ131096 MZT131096:NAF131096 NJP131096:NKB131096 NTL131096:NTX131096 ODH131096:ODT131096 OND131096:ONP131096 OWZ131096:OXL131096 PGV131096:PHH131096 PQR131096:PRD131096 QAN131096:QAZ131096 QKJ131096:QKV131096 QUF131096:QUR131096 REB131096:REN131096 RNX131096:ROJ131096 RXT131096:RYF131096 SHP131096:SIB131096 SRL131096:SRX131096 TBH131096:TBT131096 TLD131096:TLP131096 TUZ131096:TVL131096 UEV131096:UFH131096 UOR131096:UPD131096 UYN131096:UYZ131096 VIJ131096:VIV131096 VSF131096:VSR131096 WCB131096:WCN131096 WLX131096:WMJ131096 WVT131096:WWF131096 L196632:X196632 JH196632:JT196632 TD196632:TP196632 ACZ196632:ADL196632 AMV196632:ANH196632 AWR196632:AXD196632 BGN196632:BGZ196632 BQJ196632:BQV196632 CAF196632:CAR196632 CKB196632:CKN196632 CTX196632:CUJ196632 DDT196632:DEF196632 DNP196632:DOB196632 DXL196632:DXX196632 EHH196632:EHT196632 ERD196632:ERP196632 FAZ196632:FBL196632 FKV196632:FLH196632 FUR196632:FVD196632 GEN196632:GEZ196632 GOJ196632:GOV196632 GYF196632:GYR196632 HIB196632:HIN196632 HRX196632:HSJ196632 IBT196632:ICF196632 ILP196632:IMB196632 IVL196632:IVX196632 JFH196632:JFT196632 JPD196632:JPP196632 JYZ196632:JZL196632 KIV196632:KJH196632 KSR196632:KTD196632 LCN196632:LCZ196632 LMJ196632:LMV196632 LWF196632:LWR196632 MGB196632:MGN196632 MPX196632:MQJ196632 MZT196632:NAF196632 NJP196632:NKB196632 NTL196632:NTX196632 ODH196632:ODT196632 OND196632:ONP196632 OWZ196632:OXL196632 PGV196632:PHH196632 PQR196632:PRD196632 QAN196632:QAZ196632 QKJ196632:QKV196632 QUF196632:QUR196632 REB196632:REN196632 RNX196632:ROJ196632 RXT196632:RYF196632 SHP196632:SIB196632 SRL196632:SRX196632 TBH196632:TBT196632 TLD196632:TLP196632 TUZ196632:TVL196632 UEV196632:UFH196632 UOR196632:UPD196632 UYN196632:UYZ196632 VIJ196632:VIV196632 VSF196632:VSR196632 WCB196632:WCN196632 WLX196632:WMJ196632 WVT196632:WWF196632 L262168:X262168 JH262168:JT262168 TD262168:TP262168 ACZ262168:ADL262168 AMV262168:ANH262168 AWR262168:AXD262168 BGN262168:BGZ262168 BQJ262168:BQV262168 CAF262168:CAR262168 CKB262168:CKN262168 CTX262168:CUJ262168 DDT262168:DEF262168 DNP262168:DOB262168 DXL262168:DXX262168 EHH262168:EHT262168 ERD262168:ERP262168 FAZ262168:FBL262168 FKV262168:FLH262168 FUR262168:FVD262168 GEN262168:GEZ262168 GOJ262168:GOV262168 GYF262168:GYR262168 HIB262168:HIN262168 HRX262168:HSJ262168 IBT262168:ICF262168 ILP262168:IMB262168 IVL262168:IVX262168 JFH262168:JFT262168 JPD262168:JPP262168 JYZ262168:JZL262168 KIV262168:KJH262168 KSR262168:KTD262168 LCN262168:LCZ262168 LMJ262168:LMV262168 LWF262168:LWR262168 MGB262168:MGN262168 MPX262168:MQJ262168 MZT262168:NAF262168 NJP262168:NKB262168 NTL262168:NTX262168 ODH262168:ODT262168 OND262168:ONP262168 OWZ262168:OXL262168 PGV262168:PHH262168 PQR262168:PRD262168 QAN262168:QAZ262168 QKJ262168:QKV262168 QUF262168:QUR262168 REB262168:REN262168 RNX262168:ROJ262168 RXT262168:RYF262168 SHP262168:SIB262168 SRL262168:SRX262168 TBH262168:TBT262168 TLD262168:TLP262168 TUZ262168:TVL262168 UEV262168:UFH262168 UOR262168:UPD262168 UYN262168:UYZ262168 VIJ262168:VIV262168 VSF262168:VSR262168 WCB262168:WCN262168 WLX262168:WMJ262168 WVT262168:WWF262168 L327704:X327704 JH327704:JT327704 TD327704:TP327704 ACZ327704:ADL327704 AMV327704:ANH327704 AWR327704:AXD327704 BGN327704:BGZ327704 BQJ327704:BQV327704 CAF327704:CAR327704 CKB327704:CKN327704 CTX327704:CUJ327704 DDT327704:DEF327704 DNP327704:DOB327704 DXL327704:DXX327704 EHH327704:EHT327704 ERD327704:ERP327704 FAZ327704:FBL327704 FKV327704:FLH327704 FUR327704:FVD327704 GEN327704:GEZ327704 GOJ327704:GOV327704 GYF327704:GYR327704 HIB327704:HIN327704 HRX327704:HSJ327704 IBT327704:ICF327704 ILP327704:IMB327704 IVL327704:IVX327704 JFH327704:JFT327704 JPD327704:JPP327704 JYZ327704:JZL327704 KIV327704:KJH327704 KSR327704:KTD327704 LCN327704:LCZ327704 LMJ327704:LMV327704 LWF327704:LWR327704 MGB327704:MGN327704 MPX327704:MQJ327704 MZT327704:NAF327704 NJP327704:NKB327704 NTL327704:NTX327704 ODH327704:ODT327704 OND327704:ONP327704 OWZ327704:OXL327704 PGV327704:PHH327704 PQR327704:PRD327704 QAN327704:QAZ327704 QKJ327704:QKV327704 QUF327704:QUR327704 REB327704:REN327704 RNX327704:ROJ327704 RXT327704:RYF327704 SHP327704:SIB327704 SRL327704:SRX327704 TBH327704:TBT327704 TLD327704:TLP327704 TUZ327704:TVL327704 UEV327704:UFH327704 UOR327704:UPD327704 UYN327704:UYZ327704 VIJ327704:VIV327704 VSF327704:VSR327704 WCB327704:WCN327704 WLX327704:WMJ327704 WVT327704:WWF327704 L393240:X393240 JH393240:JT393240 TD393240:TP393240 ACZ393240:ADL393240 AMV393240:ANH393240 AWR393240:AXD393240 BGN393240:BGZ393240 BQJ393240:BQV393240 CAF393240:CAR393240 CKB393240:CKN393240 CTX393240:CUJ393240 DDT393240:DEF393240 DNP393240:DOB393240 DXL393240:DXX393240 EHH393240:EHT393240 ERD393240:ERP393240 FAZ393240:FBL393240 FKV393240:FLH393240 FUR393240:FVD393240 GEN393240:GEZ393240 GOJ393240:GOV393240 GYF393240:GYR393240 HIB393240:HIN393240 HRX393240:HSJ393240 IBT393240:ICF393240 ILP393240:IMB393240 IVL393240:IVX393240 JFH393240:JFT393240 JPD393240:JPP393240 JYZ393240:JZL393240 KIV393240:KJH393240 KSR393240:KTD393240 LCN393240:LCZ393240 LMJ393240:LMV393240 LWF393240:LWR393240 MGB393240:MGN393240 MPX393240:MQJ393240 MZT393240:NAF393240 NJP393240:NKB393240 NTL393240:NTX393240 ODH393240:ODT393240 OND393240:ONP393240 OWZ393240:OXL393240 PGV393240:PHH393240 PQR393240:PRD393240 QAN393240:QAZ393240 QKJ393240:QKV393240 QUF393240:QUR393240 REB393240:REN393240 RNX393240:ROJ393240 RXT393240:RYF393240 SHP393240:SIB393240 SRL393240:SRX393240 TBH393240:TBT393240 TLD393240:TLP393240 TUZ393240:TVL393240 UEV393240:UFH393240 UOR393240:UPD393240 UYN393240:UYZ393240 VIJ393240:VIV393240 VSF393240:VSR393240 WCB393240:WCN393240 WLX393240:WMJ393240 WVT393240:WWF393240 L458776:X458776 JH458776:JT458776 TD458776:TP458776 ACZ458776:ADL458776 AMV458776:ANH458776 AWR458776:AXD458776 BGN458776:BGZ458776 BQJ458776:BQV458776 CAF458776:CAR458776 CKB458776:CKN458776 CTX458776:CUJ458776 DDT458776:DEF458776 DNP458776:DOB458776 DXL458776:DXX458776 EHH458776:EHT458776 ERD458776:ERP458776 FAZ458776:FBL458776 FKV458776:FLH458776 FUR458776:FVD458776 GEN458776:GEZ458776 GOJ458776:GOV458776 GYF458776:GYR458776 HIB458776:HIN458776 HRX458776:HSJ458776 IBT458776:ICF458776 ILP458776:IMB458776 IVL458776:IVX458776 JFH458776:JFT458776 JPD458776:JPP458776 JYZ458776:JZL458776 KIV458776:KJH458776 KSR458776:KTD458776 LCN458776:LCZ458776 LMJ458776:LMV458776 LWF458776:LWR458776 MGB458776:MGN458776 MPX458776:MQJ458776 MZT458776:NAF458776 NJP458776:NKB458776 NTL458776:NTX458776 ODH458776:ODT458776 OND458776:ONP458776 OWZ458776:OXL458776 PGV458776:PHH458776 PQR458776:PRD458776 QAN458776:QAZ458776 QKJ458776:QKV458776 QUF458776:QUR458776 REB458776:REN458776 RNX458776:ROJ458776 RXT458776:RYF458776 SHP458776:SIB458776 SRL458776:SRX458776 TBH458776:TBT458776 TLD458776:TLP458776 TUZ458776:TVL458776 UEV458776:UFH458776 UOR458776:UPD458776 UYN458776:UYZ458776 VIJ458776:VIV458776 VSF458776:VSR458776 WCB458776:WCN458776 WLX458776:WMJ458776 WVT458776:WWF458776 L524312:X524312 JH524312:JT524312 TD524312:TP524312 ACZ524312:ADL524312 AMV524312:ANH524312 AWR524312:AXD524312 BGN524312:BGZ524312 BQJ524312:BQV524312 CAF524312:CAR524312 CKB524312:CKN524312 CTX524312:CUJ524312 DDT524312:DEF524312 DNP524312:DOB524312 DXL524312:DXX524312 EHH524312:EHT524312 ERD524312:ERP524312 FAZ524312:FBL524312 FKV524312:FLH524312 FUR524312:FVD524312 GEN524312:GEZ524312 GOJ524312:GOV524312 GYF524312:GYR524312 HIB524312:HIN524312 HRX524312:HSJ524312 IBT524312:ICF524312 ILP524312:IMB524312 IVL524312:IVX524312 JFH524312:JFT524312 JPD524312:JPP524312 JYZ524312:JZL524312 KIV524312:KJH524312 KSR524312:KTD524312 LCN524312:LCZ524312 LMJ524312:LMV524312 LWF524312:LWR524312 MGB524312:MGN524312 MPX524312:MQJ524312 MZT524312:NAF524312 NJP524312:NKB524312 NTL524312:NTX524312 ODH524312:ODT524312 OND524312:ONP524312 OWZ524312:OXL524312 PGV524312:PHH524312 PQR524312:PRD524312 QAN524312:QAZ524312 QKJ524312:QKV524312 QUF524312:QUR524312 REB524312:REN524312 RNX524312:ROJ524312 RXT524312:RYF524312 SHP524312:SIB524312 SRL524312:SRX524312 TBH524312:TBT524312 TLD524312:TLP524312 TUZ524312:TVL524312 UEV524312:UFH524312 UOR524312:UPD524312 UYN524312:UYZ524312 VIJ524312:VIV524312 VSF524312:VSR524312 WCB524312:WCN524312 WLX524312:WMJ524312 WVT524312:WWF524312 L589848:X589848 JH589848:JT589848 TD589848:TP589848 ACZ589848:ADL589848 AMV589848:ANH589848 AWR589848:AXD589848 BGN589848:BGZ589848 BQJ589848:BQV589848 CAF589848:CAR589848 CKB589848:CKN589848 CTX589848:CUJ589848 DDT589848:DEF589848 DNP589848:DOB589848 DXL589848:DXX589848 EHH589848:EHT589848 ERD589848:ERP589848 FAZ589848:FBL589848 FKV589848:FLH589848 FUR589848:FVD589848 GEN589848:GEZ589848 GOJ589848:GOV589848 GYF589848:GYR589848 HIB589848:HIN589848 HRX589848:HSJ589848 IBT589848:ICF589848 ILP589848:IMB589848 IVL589848:IVX589848 JFH589848:JFT589848 JPD589848:JPP589848 JYZ589848:JZL589848 KIV589848:KJH589848 KSR589848:KTD589848 LCN589848:LCZ589848 LMJ589848:LMV589848 LWF589848:LWR589848 MGB589848:MGN589848 MPX589848:MQJ589848 MZT589848:NAF589848 NJP589848:NKB589848 NTL589848:NTX589848 ODH589848:ODT589848 OND589848:ONP589848 OWZ589848:OXL589848 PGV589848:PHH589848 PQR589848:PRD589848 QAN589848:QAZ589848 QKJ589848:QKV589848 QUF589848:QUR589848 REB589848:REN589848 RNX589848:ROJ589848 RXT589848:RYF589848 SHP589848:SIB589848 SRL589848:SRX589848 TBH589848:TBT589848 TLD589848:TLP589848 TUZ589848:TVL589848 UEV589848:UFH589848 UOR589848:UPD589848 UYN589848:UYZ589848 VIJ589848:VIV589848 VSF589848:VSR589848 WCB589848:WCN589848 WLX589848:WMJ589848 WVT589848:WWF589848 L655384:X655384 JH655384:JT655384 TD655384:TP655384 ACZ655384:ADL655384 AMV655384:ANH655384 AWR655384:AXD655384 BGN655384:BGZ655384 BQJ655384:BQV655384 CAF655384:CAR655384 CKB655384:CKN655384 CTX655384:CUJ655384 DDT655384:DEF655384 DNP655384:DOB655384 DXL655384:DXX655384 EHH655384:EHT655384 ERD655384:ERP655384 FAZ655384:FBL655384 FKV655384:FLH655384 FUR655384:FVD655384 GEN655384:GEZ655384 GOJ655384:GOV655384 GYF655384:GYR655384 HIB655384:HIN655384 HRX655384:HSJ655384 IBT655384:ICF655384 ILP655384:IMB655384 IVL655384:IVX655384 JFH655384:JFT655384 JPD655384:JPP655384 JYZ655384:JZL655384 KIV655384:KJH655384 KSR655384:KTD655384 LCN655384:LCZ655384 LMJ655384:LMV655384 LWF655384:LWR655384 MGB655384:MGN655384 MPX655384:MQJ655384 MZT655384:NAF655384 NJP655384:NKB655384 NTL655384:NTX655384 ODH655384:ODT655384 OND655384:ONP655384 OWZ655384:OXL655384 PGV655384:PHH655384 PQR655384:PRD655384 QAN655384:QAZ655384 QKJ655384:QKV655384 QUF655384:QUR655384 REB655384:REN655384 RNX655384:ROJ655384 RXT655384:RYF655384 SHP655384:SIB655384 SRL655384:SRX655384 TBH655384:TBT655384 TLD655384:TLP655384 TUZ655384:TVL655384 UEV655384:UFH655384 UOR655384:UPD655384 UYN655384:UYZ655384 VIJ655384:VIV655384 VSF655384:VSR655384 WCB655384:WCN655384 WLX655384:WMJ655384 WVT655384:WWF655384 L720920:X720920 JH720920:JT720920 TD720920:TP720920 ACZ720920:ADL720920 AMV720920:ANH720920 AWR720920:AXD720920 BGN720920:BGZ720920 BQJ720920:BQV720920 CAF720920:CAR720920 CKB720920:CKN720920 CTX720920:CUJ720920 DDT720920:DEF720920 DNP720920:DOB720920 DXL720920:DXX720920 EHH720920:EHT720920 ERD720920:ERP720920 FAZ720920:FBL720920 FKV720920:FLH720920 FUR720920:FVD720920 GEN720920:GEZ720920 GOJ720920:GOV720920 GYF720920:GYR720920 HIB720920:HIN720920 HRX720920:HSJ720920 IBT720920:ICF720920 ILP720920:IMB720920 IVL720920:IVX720920 JFH720920:JFT720920 JPD720920:JPP720920 JYZ720920:JZL720920 KIV720920:KJH720920 KSR720920:KTD720920 LCN720920:LCZ720920 LMJ720920:LMV720920 LWF720920:LWR720920 MGB720920:MGN720920 MPX720920:MQJ720920 MZT720920:NAF720920 NJP720920:NKB720920 NTL720920:NTX720920 ODH720920:ODT720920 OND720920:ONP720920 OWZ720920:OXL720920 PGV720920:PHH720920 PQR720920:PRD720920 QAN720920:QAZ720920 QKJ720920:QKV720920 QUF720920:QUR720920 REB720920:REN720920 RNX720920:ROJ720920 RXT720920:RYF720920 SHP720920:SIB720920 SRL720920:SRX720920 TBH720920:TBT720920 TLD720920:TLP720920 TUZ720920:TVL720920 UEV720920:UFH720920 UOR720920:UPD720920 UYN720920:UYZ720920 VIJ720920:VIV720920 VSF720920:VSR720920 WCB720920:WCN720920 WLX720920:WMJ720920 WVT720920:WWF720920 L786456:X786456 JH786456:JT786456 TD786456:TP786456 ACZ786456:ADL786456 AMV786456:ANH786456 AWR786456:AXD786456 BGN786456:BGZ786456 BQJ786456:BQV786456 CAF786456:CAR786456 CKB786456:CKN786456 CTX786456:CUJ786456 DDT786456:DEF786456 DNP786456:DOB786456 DXL786456:DXX786456 EHH786456:EHT786456 ERD786456:ERP786456 FAZ786456:FBL786456 FKV786456:FLH786456 FUR786456:FVD786456 GEN786456:GEZ786456 GOJ786456:GOV786456 GYF786456:GYR786456 HIB786456:HIN786456 HRX786456:HSJ786456 IBT786456:ICF786456 ILP786456:IMB786456 IVL786456:IVX786456 JFH786456:JFT786456 JPD786456:JPP786456 JYZ786456:JZL786456 KIV786456:KJH786456 KSR786456:KTD786456 LCN786456:LCZ786456 LMJ786456:LMV786456 LWF786456:LWR786456 MGB786456:MGN786456 MPX786456:MQJ786456 MZT786456:NAF786456 NJP786456:NKB786456 NTL786456:NTX786456 ODH786456:ODT786456 OND786456:ONP786456 OWZ786456:OXL786456 PGV786456:PHH786456 PQR786456:PRD786456 QAN786456:QAZ786456 QKJ786456:QKV786456 QUF786456:QUR786456 REB786456:REN786456 RNX786456:ROJ786456 RXT786456:RYF786456 SHP786456:SIB786456 SRL786456:SRX786456 TBH786456:TBT786456 TLD786456:TLP786456 TUZ786456:TVL786456 UEV786456:UFH786456 UOR786456:UPD786456 UYN786456:UYZ786456 VIJ786456:VIV786456 VSF786456:VSR786456 WCB786456:WCN786456 WLX786456:WMJ786456 WVT786456:WWF786456 L851992:X851992 JH851992:JT851992 TD851992:TP851992 ACZ851992:ADL851992 AMV851992:ANH851992 AWR851992:AXD851992 BGN851992:BGZ851992 BQJ851992:BQV851992 CAF851992:CAR851992 CKB851992:CKN851992 CTX851992:CUJ851992 DDT851992:DEF851992 DNP851992:DOB851992 DXL851992:DXX851992 EHH851992:EHT851992 ERD851992:ERP851992 FAZ851992:FBL851992 FKV851992:FLH851992 FUR851992:FVD851992 GEN851992:GEZ851992 GOJ851992:GOV851992 GYF851992:GYR851992 HIB851992:HIN851992 HRX851992:HSJ851992 IBT851992:ICF851992 ILP851992:IMB851992 IVL851992:IVX851992 JFH851992:JFT851992 JPD851992:JPP851992 JYZ851992:JZL851992 KIV851992:KJH851992 KSR851992:KTD851992 LCN851992:LCZ851992 LMJ851992:LMV851992 LWF851992:LWR851992 MGB851992:MGN851992 MPX851992:MQJ851992 MZT851992:NAF851992 NJP851992:NKB851992 NTL851992:NTX851992 ODH851992:ODT851992 OND851992:ONP851992 OWZ851992:OXL851992 PGV851992:PHH851992 PQR851992:PRD851992 QAN851992:QAZ851992 QKJ851992:QKV851992 QUF851992:QUR851992 REB851992:REN851992 RNX851992:ROJ851992 RXT851992:RYF851992 SHP851992:SIB851992 SRL851992:SRX851992 TBH851992:TBT851992 TLD851992:TLP851992 TUZ851992:TVL851992 UEV851992:UFH851992 UOR851992:UPD851992 UYN851992:UYZ851992 VIJ851992:VIV851992 VSF851992:VSR851992 WCB851992:WCN851992 WLX851992:WMJ851992 WVT851992:WWF851992 L917528:X917528 JH917528:JT917528 TD917528:TP917528 ACZ917528:ADL917528 AMV917528:ANH917528 AWR917528:AXD917528 BGN917528:BGZ917528 BQJ917528:BQV917528 CAF917528:CAR917528 CKB917528:CKN917528 CTX917528:CUJ917528 DDT917528:DEF917528 DNP917528:DOB917528 DXL917528:DXX917528 EHH917528:EHT917528 ERD917528:ERP917528 FAZ917528:FBL917528 FKV917528:FLH917528 FUR917528:FVD917528 GEN917528:GEZ917528 GOJ917528:GOV917528 GYF917528:GYR917528 HIB917528:HIN917528 HRX917528:HSJ917528 IBT917528:ICF917528 ILP917528:IMB917528 IVL917528:IVX917528 JFH917528:JFT917528 JPD917528:JPP917528 JYZ917528:JZL917528 KIV917528:KJH917528 KSR917528:KTD917528 LCN917528:LCZ917528 LMJ917528:LMV917528 LWF917528:LWR917528 MGB917528:MGN917528 MPX917528:MQJ917528 MZT917528:NAF917528 NJP917528:NKB917528 NTL917528:NTX917528 ODH917528:ODT917528 OND917528:ONP917528 OWZ917528:OXL917528 PGV917528:PHH917528 PQR917528:PRD917528 QAN917528:QAZ917528 QKJ917528:QKV917528 QUF917528:QUR917528 REB917528:REN917528 RNX917528:ROJ917528 RXT917528:RYF917528 SHP917528:SIB917528 SRL917528:SRX917528 TBH917528:TBT917528 TLD917528:TLP917528 TUZ917528:TVL917528 UEV917528:UFH917528 UOR917528:UPD917528 UYN917528:UYZ917528 VIJ917528:VIV917528 VSF917528:VSR917528 WCB917528:WCN917528 WLX917528:WMJ917528 WVT917528:WWF917528 L983064:X983064 JH983064:JT983064 TD983064:TP983064 ACZ983064:ADL983064 AMV983064:ANH983064 AWR983064:AXD983064 BGN983064:BGZ983064 BQJ983064:BQV983064 CAF983064:CAR983064 CKB983064:CKN983064 CTX983064:CUJ983064 DDT983064:DEF983064 DNP983064:DOB983064 DXL983064:DXX983064 EHH983064:EHT983064 ERD983064:ERP983064 FAZ983064:FBL983064 FKV983064:FLH983064 FUR983064:FVD983064 GEN983064:GEZ983064 GOJ983064:GOV983064 GYF983064:GYR983064 HIB983064:HIN983064 HRX983064:HSJ983064 IBT983064:ICF983064 ILP983064:IMB983064 IVL983064:IVX983064 JFH983064:JFT983064 JPD983064:JPP983064 JYZ983064:JZL983064 KIV983064:KJH983064 KSR983064:KTD983064 LCN983064:LCZ983064 LMJ983064:LMV983064 LWF983064:LWR983064 MGB983064:MGN983064 MPX983064:MQJ983064 MZT983064:NAF983064 NJP983064:NKB983064 NTL983064:NTX983064 ODH983064:ODT983064 OND983064:ONP983064 OWZ983064:OXL983064 PGV983064:PHH983064 PQR983064:PRD983064 QAN983064:QAZ983064 QKJ983064:QKV983064 QUF983064:QUR983064 REB983064:REN983064 RNX983064:ROJ983064 RXT983064:RYF983064 SHP983064:SIB983064 SRL983064:SRX983064 TBH983064:TBT983064 TLD983064:TLP983064 TUZ983064:TVL983064 UEV983064:UFH983064 UOR983064:UPD983064 UYN983064:UYZ983064 VIJ983064:VIV983064 VSF983064:VSR983064 WCB983064:WCN983064 WLX983064:WMJ983064 L25 N25 V25:X25" xr:uid="{62C476DB-B91C-4C12-9E29-D1196F239D75}"/>
    <dataValidation type="list" imeMode="fullAlpha" allowBlank="1" showInputMessage="1" showErrorMessage="1" sqref="F27:F29 JB27:JB29 SX27:SX29 ACT27:ACT29 AMP27:AMP29 AWL27:AWL29 BGH27:BGH29 BQD27:BQD29 BZZ27:BZZ29 CJV27:CJV29 CTR27:CTR29 DDN27:DDN29 DNJ27:DNJ29 DXF27:DXF29 EHB27:EHB29 EQX27:EQX29 FAT27:FAT29 FKP27:FKP29 FUL27:FUL29 GEH27:GEH29 GOD27:GOD29 GXZ27:GXZ29 HHV27:HHV29 HRR27:HRR29 IBN27:IBN29 ILJ27:ILJ29 IVF27:IVF29 JFB27:JFB29 JOX27:JOX29 JYT27:JYT29 KIP27:KIP29 KSL27:KSL29 LCH27:LCH29 LMD27:LMD29 LVZ27:LVZ29 MFV27:MFV29 MPR27:MPR29 MZN27:MZN29 NJJ27:NJJ29 NTF27:NTF29 ODB27:ODB29 OMX27:OMX29 OWT27:OWT29 PGP27:PGP29 PQL27:PQL29 QAH27:QAH29 QKD27:QKD29 QTZ27:QTZ29 RDV27:RDV29 RNR27:RNR29 RXN27:RXN29 SHJ27:SHJ29 SRF27:SRF29 TBB27:TBB29 TKX27:TKX29 TUT27:TUT29 UEP27:UEP29 UOL27:UOL29 UYH27:UYH29 VID27:VID29 VRZ27:VRZ29 WBV27:WBV29 WLR27:WLR29 WVN27:WVN29 F65562:F65564 JB65562:JB65564 SX65562:SX65564 ACT65562:ACT65564 AMP65562:AMP65564 AWL65562:AWL65564 BGH65562:BGH65564 BQD65562:BQD65564 BZZ65562:BZZ65564 CJV65562:CJV65564 CTR65562:CTR65564 DDN65562:DDN65564 DNJ65562:DNJ65564 DXF65562:DXF65564 EHB65562:EHB65564 EQX65562:EQX65564 FAT65562:FAT65564 FKP65562:FKP65564 FUL65562:FUL65564 GEH65562:GEH65564 GOD65562:GOD65564 GXZ65562:GXZ65564 HHV65562:HHV65564 HRR65562:HRR65564 IBN65562:IBN65564 ILJ65562:ILJ65564 IVF65562:IVF65564 JFB65562:JFB65564 JOX65562:JOX65564 JYT65562:JYT65564 KIP65562:KIP65564 KSL65562:KSL65564 LCH65562:LCH65564 LMD65562:LMD65564 LVZ65562:LVZ65564 MFV65562:MFV65564 MPR65562:MPR65564 MZN65562:MZN65564 NJJ65562:NJJ65564 NTF65562:NTF65564 ODB65562:ODB65564 OMX65562:OMX65564 OWT65562:OWT65564 PGP65562:PGP65564 PQL65562:PQL65564 QAH65562:QAH65564 QKD65562:QKD65564 QTZ65562:QTZ65564 RDV65562:RDV65564 RNR65562:RNR65564 RXN65562:RXN65564 SHJ65562:SHJ65564 SRF65562:SRF65564 TBB65562:TBB65564 TKX65562:TKX65564 TUT65562:TUT65564 UEP65562:UEP65564 UOL65562:UOL65564 UYH65562:UYH65564 VID65562:VID65564 VRZ65562:VRZ65564 WBV65562:WBV65564 WLR65562:WLR65564 WVN65562:WVN65564 F131098:F131100 JB131098:JB131100 SX131098:SX131100 ACT131098:ACT131100 AMP131098:AMP131100 AWL131098:AWL131100 BGH131098:BGH131100 BQD131098:BQD131100 BZZ131098:BZZ131100 CJV131098:CJV131100 CTR131098:CTR131100 DDN131098:DDN131100 DNJ131098:DNJ131100 DXF131098:DXF131100 EHB131098:EHB131100 EQX131098:EQX131100 FAT131098:FAT131100 FKP131098:FKP131100 FUL131098:FUL131100 GEH131098:GEH131100 GOD131098:GOD131100 GXZ131098:GXZ131100 HHV131098:HHV131100 HRR131098:HRR131100 IBN131098:IBN131100 ILJ131098:ILJ131100 IVF131098:IVF131100 JFB131098:JFB131100 JOX131098:JOX131100 JYT131098:JYT131100 KIP131098:KIP131100 KSL131098:KSL131100 LCH131098:LCH131100 LMD131098:LMD131100 LVZ131098:LVZ131100 MFV131098:MFV131100 MPR131098:MPR131100 MZN131098:MZN131100 NJJ131098:NJJ131100 NTF131098:NTF131100 ODB131098:ODB131100 OMX131098:OMX131100 OWT131098:OWT131100 PGP131098:PGP131100 PQL131098:PQL131100 QAH131098:QAH131100 QKD131098:QKD131100 QTZ131098:QTZ131100 RDV131098:RDV131100 RNR131098:RNR131100 RXN131098:RXN131100 SHJ131098:SHJ131100 SRF131098:SRF131100 TBB131098:TBB131100 TKX131098:TKX131100 TUT131098:TUT131100 UEP131098:UEP131100 UOL131098:UOL131100 UYH131098:UYH131100 VID131098:VID131100 VRZ131098:VRZ131100 WBV131098:WBV131100 WLR131098:WLR131100 WVN131098:WVN131100 F196634:F196636 JB196634:JB196636 SX196634:SX196636 ACT196634:ACT196636 AMP196634:AMP196636 AWL196634:AWL196636 BGH196634:BGH196636 BQD196634:BQD196636 BZZ196634:BZZ196636 CJV196634:CJV196636 CTR196634:CTR196636 DDN196634:DDN196636 DNJ196634:DNJ196636 DXF196634:DXF196636 EHB196634:EHB196636 EQX196634:EQX196636 FAT196634:FAT196636 FKP196634:FKP196636 FUL196634:FUL196636 GEH196634:GEH196636 GOD196634:GOD196636 GXZ196634:GXZ196636 HHV196634:HHV196636 HRR196634:HRR196636 IBN196634:IBN196636 ILJ196634:ILJ196636 IVF196634:IVF196636 JFB196634:JFB196636 JOX196634:JOX196636 JYT196634:JYT196636 KIP196634:KIP196636 KSL196634:KSL196636 LCH196634:LCH196636 LMD196634:LMD196636 LVZ196634:LVZ196636 MFV196634:MFV196636 MPR196634:MPR196636 MZN196634:MZN196636 NJJ196634:NJJ196636 NTF196634:NTF196636 ODB196634:ODB196636 OMX196634:OMX196636 OWT196634:OWT196636 PGP196634:PGP196636 PQL196634:PQL196636 QAH196634:QAH196636 QKD196634:QKD196636 QTZ196634:QTZ196636 RDV196634:RDV196636 RNR196634:RNR196636 RXN196634:RXN196636 SHJ196634:SHJ196636 SRF196634:SRF196636 TBB196634:TBB196636 TKX196634:TKX196636 TUT196634:TUT196636 UEP196634:UEP196636 UOL196634:UOL196636 UYH196634:UYH196636 VID196634:VID196636 VRZ196634:VRZ196636 WBV196634:WBV196636 WLR196634:WLR196636 WVN196634:WVN196636 F262170:F262172 JB262170:JB262172 SX262170:SX262172 ACT262170:ACT262172 AMP262170:AMP262172 AWL262170:AWL262172 BGH262170:BGH262172 BQD262170:BQD262172 BZZ262170:BZZ262172 CJV262170:CJV262172 CTR262170:CTR262172 DDN262170:DDN262172 DNJ262170:DNJ262172 DXF262170:DXF262172 EHB262170:EHB262172 EQX262170:EQX262172 FAT262170:FAT262172 FKP262170:FKP262172 FUL262170:FUL262172 GEH262170:GEH262172 GOD262170:GOD262172 GXZ262170:GXZ262172 HHV262170:HHV262172 HRR262170:HRR262172 IBN262170:IBN262172 ILJ262170:ILJ262172 IVF262170:IVF262172 JFB262170:JFB262172 JOX262170:JOX262172 JYT262170:JYT262172 KIP262170:KIP262172 KSL262170:KSL262172 LCH262170:LCH262172 LMD262170:LMD262172 LVZ262170:LVZ262172 MFV262170:MFV262172 MPR262170:MPR262172 MZN262170:MZN262172 NJJ262170:NJJ262172 NTF262170:NTF262172 ODB262170:ODB262172 OMX262170:OMX262172 OWT262170:OWT262172 PGP262170:PGP262172 PQL262170:PQL262172 QAH262170:QAH262172 QKD262170:QKD262172 QTZ262170:QTZ262172 RDV262170:RDV262172 RNR262170:RNR262172 RXN262170:RXN262172 SHJ262170:SHJ262172 SRF262170:SRF262172 TBB262170:TBB262172 TKX262170:TKX262172 TUT262170:TUT262172 UEP262170:UEP262172 UOL262170:UOL262172 UYH262170:UYH262172 VID262170:VID262172 VRZ262170:VRZ262172 WBV262170:WBV262172 WLR262170:WLR262172 WVN262170:WVN262172 F327706:F327708 JB327706:JB327708 SX327706:SX327708 ACT327706:ACT327708 AMP327706:AMP327708 AWL327706:AWL327708 BGH327706:BGH327708 BQD327706:BQD327708 BZZ327706:BZZ327708 CJV327706:CJV327708 CTR327706:CTR327708 DDN327706:DDN327708 DNJ327706:DNJ327708 DXF327706:DXF327708 EHB327706:EHB327708 EQX327706:EQX327708 FAT327706:FAT327708 FKP327706:FKP327708 FUL327706:FUL327708 GEH327706:GEH327708 GOD327706:GOD327708 GXZ327706:GXZ327708 HHV327706:HHV327708 HRR327706:HRR327708 IBN327706:IBN327708 ILJ327706:ILJ327708 IVF327706:IVF327708 JFB327706:JFB327708 JOX327706:JOX327708 JYT327706:JYT327708 KIP327706:KIP327708 KSL327706:KSL327708 LCH327706:LCH327708 LMD327706:LMD327708 LVZ327706:LVZ327708 MFV327706:MFV327708 MPR327706:MPR327708 MZN327706:MZN327708 NJJ327706:NJJ327708 NTF327706:NTF327708 ODB327706:ODB327708 OMX327706:OMX327708 OWT327706:OWT327708 PGP327706:PGP327708 PQL327706:PQL327708 QAH327706:QAH327708 QKD327706:QKD327708 QTZ327706:QTZ327708 RDV327706:RDV327708 RNR327706:RNR327708 RXN327706:RXN327708 SHJ327706:SHJ327708 SRF327706:SRF327708 TBB327706:TBB327708 TKX327706:TKX327708 TUT327706:TUT327708 UEP327706:UEP327708 UOL327706:UOL327708 UYH327706:UYH327708 VID327706:VID327708 VRZ327706:VRZ327708 WBV327706:WBV327708 WLR327706:WLR327708 WVN327706:WVN327708 F393242:F393244 JB393242:JB393244 SX393242:SX393244 ACT393242:ACT393244 AMP393242:AMP393244 AWL393242:AWL393244 BGH393242:BGH393244 BQD393242:BQD393244 BZZ393242:BZZ393244 CJV393242:CJV393244 CTR393242:CTR393244 DDN393242:DDN393244 DNJ393242:DNJ393244 DXF393242:DXF393244 EHB393242:EHB393244 EQX393242:EQX393244 FAT393242:FAT393244 FKP393242:FKP393244 FUL393242:FUL393244 GEH393242:GEH393244 GOD393242:GOD393244 GXZ393242:GXZ393244 HHV393242:HHV393244 HRR393242:HRR393244 IBN393242:IBN393244 ILJ393242:ILJ393244 IVF393242:IVF393244 JFB393242:JFB393244 JOX393242:JOX393244 JYT393242:JYT393244 KIP393242:KIP393244 KSL393242:KSL393244 LCH393242:LCH393244 LMD393242:LMD393244 LVZ393242:LVZ393244 MFV393242:MFV393244 MPR393242:MPR393244 MZN393242:MZN393244 NJJ393242:NJJ393244 NTF393242:NTF393244 ODB393242:ODB393244 OMX393242:OMX393244 OWT393242:OWT393244 PGP393242:PGP393244 PQL393242:PQL393244 QAH393242:QAH393244 QKD393242:QKD393244 QTZ393242:QTZ393244 RDV393242:RDV393244 RNR393242:RNR393244 RXN393242:RXN393244 SHJ393242:SHJ393244 SRF393242:SRF393244 TBB393242:TBB393244 TKX393242:TKX393244 TUT393242:TUT393244 UEP393242:UEP393244 UOL393242:UOL393244 UYH393242:UYH393244 VID393242:VID393244 VRZ393242:VRZ393244 WBV393242:WBV393244 WLR393242:WLR393244 WVN393242:WVN393244 F458778:F458780 JB458778:JB458780 SX458778:SX458780 ACT458778:ACT458780 AMP458778:AMP458780 AWL458778:AWL458780 BGH458778:BGH458780 BQD458778:BQD458780 BZZ458778:BZZ458780 CJV458778:CJV458780 CTR458778:CTR458780 DDN458778:DDN458780 DNJ458778:DNJ458780 DXF458778:DXF458780 EHB458778:EHB458780 EQX458778:EQX458780 FAT458778:FAT458780 FKP458778:FKP458780 FUL458778:FUL458780 GEH458778:GEH458780 GOD458778:GOD458780 GXZ458778:GXZ458780 HHV458778:HHV458780 HRR458778:HRR458780 IBN458778:IBN458780 ILJ458778:ILJ458780 IVF458778:IVF458780 JFB458778:JFB458780 JOX458778:JOX458780 JYT458778:JYT458780 KIP458778:KIP458780 KSL458778:KSL458780 LCH458778:LCH458780 LMD458778:LMD458780 LVZ458778:LVZ458780 MFV458778:MFV458780 MPR458778:MPR458780 MZN458778:MZN458780 NJJ458778:NJJ458780 NTF458778:NTF458780 ODB458778:ODB458780 OMX458778:OMX458780 OWT458778:OWT458780 PGP458778:PGP458780 PQL458778:PQL458780 QAH458778:QAH458780 QKD458778:QKD458780 QTZ458778:QTZ458780 RDV458778:RDV458780 RNR458778:RNR458780 RXN458778:RXN458780 SHJ458778:SHJ458780 SRF458778:SRF458780 TBB458778:TBB458780 TKX458778:TKX458780 TUT458778:TUT458780 UEP458778:UEP458780 UOL458778:UOL458780 UYH458778:UYH458780 VID458778:VID458780 VRZ458778:VRZ458780 WBV458778:WBV458780 WLR458778:WLR458780 WVN458778:WVN458780 F524314:F524316 JB524314:JB524316 SX524314:SX524316 ACT524314:ACT524316 AMP524314:AMP524316 AWL524314:AWL524316 BGH524314:BGH524316 BQD524314:BQD524316 BZZ524314:BZZ524316 CJV524314:CJV524316 CTR524314:CTR524316 DDN524314:DDN524316 DNJ524314:DNJ524316 DXF524314:DXF524316 EHB524314:EHB524316 EQX524314:EQX524316 FAT524314:FAT524316 FKP524314:FKP524316 FUL524314:FUL524316 GEH524314:GEH524316 GOD524314:GOD524316 GXZ524314:GXZ524316 HHV524314:HHV524316 HRR524314:HRR524316 IBN524314:IBN524316 ILJ524314:ILJ524316 IVF524314:IVF524316 JFB524314:JFB524316 JOX524314:JOX524316 JYT524314:JYT524316 KIP524314:KIP524316 KSL524314:KSL524316 LCH524314:LCH524316 LMD524314:LMD524316 LVZ524314:LVZ524316 MFV524314:MFV524316 MPR524314:MPR524316 MZN524314:MZN524316 NJJ524314:NJJ524316 NTF524314:NTF524316 ODB524314:ODB524316 OMX524314:OMX524316 OWT524314:OWT524316 PGP524314:PGP524316 PQL524314:PQL524316 QAH524314:QAH524316 QKD524314:QKD524316 QTZ524314:QTZ524316 RDV524314:RDV524316 RNR524314:RNR524316 RXN524314:RXN524316 SHJ524314:SHJ524316 SRF524314:SRF524316 TBB524314:TBB524316 TKX524314:TKX524316 TUT524314:TUT524316 UEP524314:UEP524316 UOL524314:UOL524316 UYH524314:UYH524316 VID524314:VID524316 VRZ524314:VRZ524316 WBV524314:WBV524316 WLR524314:WLR524316 WVN524314:WVN524316 F589850:F589852 JB589850:JB589852 SX589850:SX589852 ACT589850:ACT589852 AMP589850:AMP589852 AWL589850:AWL589852 BGH589850:BGH589852 BQD589850:BQD589852 BZZ589850:BZZ589852 CJV589850:CJV589852 CTR589850:CTR589852 DDN589850:DDN589852 DNJ589850:DNJ589852 DXF589850:DXF589852 EHB589850:EHB589852 EQX589850:EQX589852 FAT589850:FAT589852 FKP589850:FKP589852 FUL589850:FUL589852 GEH589850:GEH589852 GOD589850:GOD589852 GXZ589850:GXZ589852 HHV589850:HHV589852 HRR589850:HRR589852 IBN589850:IBN589852 ILJ589850:ILJ589852 IVF589850:IVF589852 JFB589850:JFB589852 JOX589850:JOX589852 JYT589850:JYT589852 KIP589850:KIP589852 KSL589850:KSL589852 LCH589850:LCH589852 LMD589850:LMD589852 LVZ589850:LVZ589852 MFV589850:MFV589852 MPR589850:MPR589852 MZN589850:MZN589852 NJJ589850:NJJ589852 NTF589850:NTF589852 ODB589850:ODB589852 OMX589850:OMX589852 OWT589850:OWT589852 PGP589850:PGP589852 PQL589850:PQL589852 QAH589850:QAH589852 QKD589850:QKD589852 QTZ589850:QTZ589852 RDV589850:RDV589852 RNR589850:RNR589852 RXN589850:RXN589852 SHJ589850:SHJ589852 SRF589850:SRF589852 TBB589850:TBB589852 TKX589850:TKX589852 TUT589850:TUT589852 UEP589850:UEP589852 UOL589850:UOL589852 UYH589850:UYH589852 VID589850:VID589852 VRZ589850:VRZ589852 WBV589850:WBV589852 WLR589850:WLR589852 WVN589850:WVN589852 F655386:F655388 JB655386:JB655388 SX655386:SX655388 ACT655386:ACT655388 AMP655386:AMP655388 AWL655386:AWL655388 BGH655386:BGH655388 BQD655386:BQD655388 BZZ655386:BZZ655388 CJV655386:CJV655388 CTR655386:CTR655388 DDN655386:DDN655388 DNJ655386:DNJ655388 DXF655386:DXF655388 EHB655386:EHB655388 EQX655386:EQX655388 FAT655386:FAT655388 FKP655386:FKP655388 FUL655386:FUL655388 GEH655386:GEH655388 GOD655386:GOD655388 GXZ655386:GXZ655388 HHV655386:HHV655388 HRR655386:HRR655388 IBN655386:IBN655388 ILJ655386:ILJ655388 IVF655386:IVF655388 JFB655386:JFB655388 JOX655386:JOX655388 JYT655386:JYT655388 KIP655386:KIP655388 KSL655386:KSL655388 LCH655386:LCH655388 LMD655386:LMD655388 LVZ655386:LVZ655388 MFV655386:MFV655388 MPR655386:MPR655388 MZN655386:MZN655388 NJJ655386:NJJ655388 NTF655386:NTF655388 ODB655386:ODB655388 OMX655386:OMX655388 OWT655386:OWT655388 PGP655386:PGP655388 PQL655386:PQL655388 QAH655386:QAH655388 QKD655386:QKD655388 QTZ655386:QTZ655388 RDV655386:RDV655388 RNR655386:RNR655388 RXN655386:RXN655388 SHJ655386:SHJ655388 SRF655386:SRF655388 TBB655386:TBB655388 TKX655386:TKX655388 TUT655386:TUT655388 UEP655386:UEP655388 UOL655386:UOL655388 UYH655386:UYH655388 VID655386:VID655388 VRZ655386:VRZ655388 WBV655386:WBV655388 WLR655386:WLR655388 WVN655386:WVN655388 F720922:F720924 JB720922:JB720924 SX720922:SX720924 ACT720922:ACT720924 AMP720922:AMP720924 AWL720922:AWL720924 BGH720922:BGH720924 BQD720922:BQD720924 BZZ720922:BZZ720924 CJV720922:CJV720924 CTR720922:CTR720924 DDN720922:DDN720924 DNJ720922:DNJ720924 DXF720922:DXF720924 EHB720922:EHB720924 EQX720922:EQX720924 FAT720922:FAT720924 FKP720922:FKP720924 FUL720922:FUL720924 GEH720922:GEH720924 GOD720922:GOD720924 GXZ720922:GXZ720924 HHV720922:HHV720924 HRR720922:HRR720924 IBN720922:IBN720924 ILJ720922:ILJ720924 IVF720922:IVF720924 JFB720922:JFB720924 JOX720922:JOX720924 JYT720922:JYT720924 KIP720922:KIP720924 KSL720922:KSL720924 LCH720922:LCH720924 LMD720922:LMD720924 LVZ720922:LVZ720924 MFV720922:MFV720924 MPR720922:MPR720924 MZN720922:MZN720924 NJJ720922:NJJ720924 NTF720922:NTF720924 ODB720922:ODB720924 OMX720922:OMX720924 OWT720922:OWT720924 PGP720922:PGP720924 PQL720922:PQL720924 QAH720922:QAH720924 QKD720922:QKD720924 QTZ720922:QTZ720924 RDV720922:RDV720924 RNR720922:RNR720924 RXN720922:RXN720924 SHJ720922:SHJ720924 SRF720922:SRF720924 TBB720922:TBB720924 TKX720922:TKX720924 TUT720922:TUT720924 UEP720922:UEP720924 UOL720922:UOL720924 UYH720922:UYH720924 VID720922:VID720924 VRZ720922:VRZ720924 WBV720922:WBV720924 WLR720922:WLR720924 WVN720922:WVN720924 F786458:F786460 JB786458:JB786460 SX786458:SX786460 ACT786458:ACT786460 AMP786458:AMP786460 AWL786458:AWL786460 BGH786458:BGH786460 BQD786458:BQD786460 BZZ786458:BZZ786460 CJV786458:CJV786460 CTR786458:CTR786460 DDN786458:DDN786460 DNJ786458:DNJ786460 DXF786458:DXF786460 EHB786458:EHB786460 EQX786458:EQX786460 FAT786458:FAT786460 FKP786458:FKP786460 FUL786458:FUL786460 GEH786458:GEH786460 GOD786458:GOD786460 GXZ786458:GXZ786460 HHV786458:HHV786460 HRR786458:HRR786460 IBN786458:IBN786460 ILJ786458:ILJ786460 IVF786458:IVF786460 JFB786458:JFB786460 JOX786458:JOX786460 JYT786458:JYT786460 KIP786458:KIP786460 KSL786458:KSL786460 LCH786458:LCH786460 LMD786458:LMD786460 LVZ786458:LVZ786460 MFV786458:MFV786460 MPR786458:MPR786460 MZN786458:MZN786460 NJJ786458:NJJ786460 NTF786458:NTF786460 ODB786458:ODB786460 OMX786458:OMX786460 OWT786458:OWT786460 PGP786458:PGP786460 PQL786458:PQL786460 QAH786458:QAH786460 QKD786458:QKD786460 QTZ786458:QTZ786460 RDV786458:RDV786460 RNR786458:RNR786460 RXN786458:RXN786460 SHJ786458:SHJ786460 SRF786458:SRF786460 TBB786458:TBB786460 TKX786458:TKX786460 TUT786458:TUT786460 UEP786458:UEP786460 UOL786458:UOL786460 UYH786458:UYH786460 VID786458:VID786460 VRZ786458:VRZ786460 WBV786458:WBV786460 WLR786458:WLR786460 WVN786458:WVN786460 F851994:F851996 JB851994:JB851996 SX851994:SX851996 ACT851994:ACT851996 AMP851994:AMP851996 AWL851994:AWL851996 BGH851994:BGH851996 BQD851994:BQD851996 BZZ851994:BZZ851996 CJV851994:CJV851996 CTR851994:CTR851996 DDN851994:DDN851996 DNJ851994:DNJ851996 DXF851994:DXF851996 EHB851994:EHB851996 EQX851994:EQX851996 FAT851994:FAT851996 FKP851994:FKP851996 FUL851994:FUL851996 GEH851994:GEH851996 GOD851994:GOD851996 GXZ851994:GXZ851996 HHV851994:HHV851996 HRR851994:HRR851996 IBN851994:IBN851996 ILJ851994:ILJ851996 IVF851994:IVF851996 JFB851994:JFB851996 JOX851994:JOX851996 JYT851994:JYT851996 KIP851994:KIP851996 KSL851994:KSL851996 LCH851994:LCH851996 LMD851994:LMD851996 LVZ851994:LVZ851996 MFV851994:MFV851996 MPR851994:MPR851996 MZN851994:MZN851996 NJJ851994:NJJ851996 NTF851994:NTF851996 ODB851994:ODB851996 OMX851994:OMX851996 OWT851994:OWT851996 PGP851994:PGP851996 PQL851994:PQL851996 QAH851994:QAH851996 QKD851994:QKD851996 QTZ851994:QTZ851996 RDV851994:RDV851996 RNR851994:RNR851996 RXN851994:RXN851996 SHJ851994:SHJ851996 SRF851994:SRF851996 TBB851994:TBB851996 TKX851994:TKX851996 TUT851994:TUT851996 UEP851994:UEP851996 UOL851994:UOL851996 UYH851994:UYH851996 VID851994:VID851996 VRZ851994:VRZ851996 WBV851994:WBV851996 WLR851994:WLR851996 WVN851994:WVN851996 F917530:F917532 JB917530:JB917532 SX917530:SX917532 ACT917530:ACT917532 AMP917530:AMP917532 AWL917530:AWL917532 BGH917530:BGH917532 BQD917530:BQD917532 BZZ917530:BZZ917532 CJV917530:CJV917532 CTR917530:CTR917532 DDN917530:DDN917532 DNJ917530:DNJ917532 DXF917530:DXF917532 EHB917530:EHB917532 EQX917530:EQX917532 FAT917530:FAT917532 FKP917530:FKP917532 FUL917530:FUL917532 GEH917530:GEH917532 GOD917530:GOD917532 GXZ917530:GXZ917532 HHV917530:HHV917532 HRR917530:HRR917532 IBN917530:IBN917532 ILJ917530:ILJ917532 IVF917530:IVF917532 JFB917530:JFB917532 JOX917530:JOX917532 JYT917530:JYT917532 KIP917530:KIP917532 KSL917530:KSL917532 LCH917530:LCH917532 LMD917530:LMD917532 LVZ917530:LVZ917532 MFV917530:MFV917532 MPR917530:MPR917532 MZN917530:MZN917532 NJJ917530:NJJ917532 NTF917530:NTF917532 ODB917530:ODB917532 OMX917530:OMX917532 OWT917530:OWT917532 PGP917530:PGP917532 PQL917530:PQL917532 QAH917530:QAH917532 QKD917530:QKD917532 QTZ917530:QTZ917532 RDV917530:RDV917532 RNR917530:RNR917532 RXN917530:RXN917532 SHJ917530:SHJ917532 SRF917530:SRF917532 TBB917530:TBB917532 TKX917530:TKX917532 TUT917530:TUT917532 UEP917530:UEP917532 UOL917530:UOL917532 UYH917530:UYH917532 VID917530:VID917532 VRZ917530:VRZ917532 WBV917530:WBV917532 WLR917530:WLR917532 WVN917530:WVN917532 F983066:F983068 JB983066:JB983068 SX983066:SX983068 ACT983066:ACT983068 AMP983066:AMP983068 AWL983066:AWL983068 BGH983066:BGH983068 BQD983066:BQD983068 BZZ983066:BZZ983068 CJV983066:CJV983068 CTR983066:CTR983068 DDN983066:DDN983068 DNJ983066:DNJ983068 DXF983066:DXF983068 EHB983066:EHB983068 EQX983066:EQX983068 FAT983066:FAT983068 FKP983066:FKP983068 FUL983066:FUL983068 GEH983066:GEH983068 GOD983066:GOD983068 GXZ983066:GXZ983068 HHV983066:HHV983068 HRR983066:HRR983068 IBN983066:IBN983068 ILJ983066:ILJ983068 IVF983066:IVF983068 JFB983066:JFB983068 JOX983066:JOX983068 JYT983066:JYT983068 KIP983066:KIP983068 KSL983066:KSL983068 LCH983066:LCH983068 LMD983066:LMD983068 LVZ983066:LVZ983068 MFV983066:MFV983068 MPR983066:MPR983068 MZN983066:MZN983068 NJJ983066:NJJ983068 NTF983066:NTF983068 ODB983066:ODB983068 OMX983066:OMX983068 OWT983066:OWT983068 PGP983066:PGP983068 PQL983066:PQL983068 QAH983066:QAH983068 QKD983066:QKD983068 QTZ983066:QTZ983068 RDV983066:RDV983068 RNR983066:RNR983068 RXN983066:RXN983068 SHJ983066:SHJ983068 SRF983066:SRF983068 TBB983066:TBB983068 TKX983066:TKX983068 TUT983066:TUT983068 UEP983066:UEP983068 UOL983066:UOL983068 UYH983066:UYH983068 VID983066:VID983068 VRZ983066:VRZ983068 WBV983066:WBV983068 WLR983066:WLR983068 WVN983066:WVN983068 F31:F34 JB31:JB34 SX31:SX34 ACT31:ACT34 AMP31:AMP34 AWL31:AWL34 BGH31:BGH34 BQD31:BQD34 BZZ31:BZZ34 CJV31:CJV34 CTR31:CTR34 DDN31:DDN34 DNJ31:DNJ34 DXF31:DXF34 EHB31:EHB34 EQX31:EQX34 FAT31:FAT34 FKP31:FKP34 FUL31:FUL34 GEH31:GEH34 GOD31:GOD34 GXZ31:GXZ34 HHV31:HHV34 HRR31:HRR34 IBN31:IBN34 ILJ31:ILJ34 IVF31:IVF34 JFB31:JFB34 JOX31:JOX34 JYT31:JYT34 KIP31:KIP34 KSL31:KSL34 LCH31:LCH34 LMD31:LMD34 LVZ31:LVZ34 MFV31:MFV34 MPR31:MPR34 MZN31:MZN34 NJJ31:NJJ34 NTF31:NTF34 ODB31:ODB34 OMX31:OMX34 OWT31:OWT34 PGP31:PGP34 PQL31:PQL34 QAH31:QAH34 QKD31:QKD34 QTZ31:QTZ34 RDV31:RDV34 RNR31:RNR34 RXN31:RXN34 SHJ31:SHJ34 SRF31:SRF34 TBB31:TBB34 TKX31:TKX34 TUT31:TUT34 UEP31:UEP34 UOL31:UOL34 UYH31:UYH34 VID31:VID34 VRZ31:VRZ34 WBV31:WBV34 WLR31:WLR34 WVN31:WVN34 F65566:F65569 JB65566:JB65569 SX65566:SX65569 ACT65566:ACT65569 AMP65566:AMP65569 AWL65566:AWL65569 BGH65566:BGH65569 BQD65566:BQD65569 BZZ65566:BZZ65569 CJV65566:CJV65569 CTR65566:CTR65569 DDN65566:DDN65569 DNJ65566:DNJ65569 DXF65566:DXF65569 EHB65566:EHB65569 EQX65566:EQX65569 FAT65566:FAT65569 FKP65566:FKP65569 FUL65566:FUL65569 GEH65566:GEH65569 GOD65566:GOD65569 GXZ65566:GXZ65569 HHV65566:HHV65569 HRR65566:HRR65569 IBN65566:IBN65569 ILJ65566:ILJ65569 IVF65566:IVF65569 JFB65566:JFB65569 JOX65566:JOX65569 JYT65566:JYT65569 KIP65566:KIP65569 KSL65566:KSL65569 LCH65566:LCH65569 LMD65566:LMD65569 LVZ65566:LVZ65569 MFV65566:MFV65569 MPR65566:MPR65569 MZN65566:MZN65569 NJJ65566:NJJ65569 NTF65566:NTF65569 ODB65566:ODB65569 OMX65566:OMX65569 OWT65566:OWT65569 PGP65566:PGP65569 PQL65566:PQL65569 QAH65566:QAH65569 QKD65566:QKD65569 QTZ65566:QTZ65569 RDV65566:RDV65569 RNR65566:RNR65569 RXN65566:RXN65569 SHJ65566:SHJ65569 SRF65566:SRF65569 TBB65566:TBB65569 TKX65566:TKX65569 TUT65566:TUT65569 UEP65566:UEP65569 UOL65566:UOL65569 UYH65566:UYH65569 VID65566:VID65569 VRZ65566:VRZ65569 WBV65566:WBV65569 WLR65566:WLR65569 WVN65566:WVN65569 F131102:F131105 JB131102:JB131105 SX131102:SX131105 ACT131102:ACT131105 AMP131102:AMP131105 AWL131102:AWL131105 BGH131102:BGH131105 BQD131102:BQD131105 BZZ131102:BZZ131105 CJV131102:CJV131105 CTR131102:CTR131105 DDN131102:DDN131105 DNJ131102:DNJ131105 DXF131102:DXF131105 EHB131102:EHB131105 EQX131102:EQX131105 FAT131102:FAT131105 FKP131102:FKP131105 FUL131102:FUL131105 GEH131102:GEH131105 GOD131102:GOD131105 GXZ131102:GXZ131105 HHV131102:HHV131105 HRR131102:HRR131105 IBN131102:IBN131105 ILJ131102:ILJ131105 IVF131102:IVF131105 JFB131102:JFB131105 JOX131102:JOX131105 JYT131102:JYT131105 KIP131102:KIP131105 KSL131102:KSL131105 LCH131102:LCH131105 LMD131102:LMD131105 LVZ131102:LVZ131105 MFV131102:MFV131105 MPR131102:MPR131105 MZN131102:MZN131105 NJJ131102:NJJ131105 NTF131102:NTF131105 ODB131102:ODB131105 OMX131102:OMX131105 OWT131102:OWT131105 PGP131102:PGP131105 PQL131102:PQL131105 QAH131102:QAH131105 QKD131102:QKD131105 QTZ131102:QTZ131105 RDV131102:RDV131105 RNR131102:RNR131105 RXN131102:RXN131105 SHJ131102:SHJ131105 SRF131102:SRF131105 TBB131102:TBB131105 TKX131102:TKX131105 TUT131102:TUT131105 UEP131102:UEP131105 UOL131102:UOL131105 UYH131102:UYH131105 VID131102:VID131105 VRZ131102:VRZ131105 WBV131102:WBV131105 WLR131102:WLR131105 WVN131102:WVN131105 F196638:F196641 JB196638:JB196641 SX196638:SX196641 ACT196638:ACT196641 AMP196638:AMP196641 AWL196638:AWL196641 BGH196638:BGH196641 BQD196638:BQD196641 BZZ196638:BZZ196641 CJV196638:CJV196641 CTR196638:CTR196641 DDN196638:DDN196641 DNJ196638:DNJ196641 DXF196638:DXF196641 EHB196638:EHB196641 EQX196638:EQX196641 FAT196638:FAT196641 FKP196638:FKP196641 FUL196638:FUL196641 GEH196638:GEH196641 GOD196638:GOD196641 GXZ196638:GXZ196641 HHV196638:HHV196641 HRR196638:HRR196641 IBN196638:IBN196641 ILJ196638:ILJ196641 IVF196638:IVF196641 JFB196638:JFB196641 JOX196638:JOX196641 JYT196638:JYT196641 KIP196638:KIP196641 KSL196638:KSL196641 LCH196638:LCH196641 LMD196638:LMD196641 LVZ196638:LVZ196641 MFV196638:MFV196641 MPR196638:MPR196641 MZN196638:MZN196641 NJJ196638:NJJ196641 NTF196638:NTF196641 ODB196638:ODB196641 OMX196638:OMX196641 OWT196638:OWT196641 PGP196638:PGP196641 PQL196638:PQL196641 QAH196638:QAH196641 QKD196638:QKD196641 QTZ196638:QTZ196641 RDV196638:RDV196641 RNR196638:RNR196641 RXN196638:RXN196641 SHJ196638:SHJ196641 SRF196638:SRF196641 TBB196638:TBB196641 TKX196638:TKX196641 TUT196638:TUT196641 UEP196638:UEP196641 UOL196638:UOL196641 UYH196638:UYH196641 VID196638:VID196641 VRZ196638:VRZ196641 WBV196638:WBV196641 WLR196638:WLR196641 WVN196638:WVN196641 F262174:F262177 JB262174:JB262177 SX262174:SX262177 ACT262174:ACT262177 AMP262174:AMP262177 AWL262174:AWL262177 BGH262174:BGH262177 BQD262174:BQD262177 BZZ262174:BZZ262177 CJV262174:CJV262177 CTR262174:CTR262177 DDN262174:DDN262177 DNJ262174:DNJ262177 DXF262174:DXF262177 EHB262174:EHB262177 EQX262174:EQX262177 FAT262174:FAT262177 FKP262174:FKP262177 FUL262174:FUL262177 GEH262174:GEH262177 GOD262174:GOD262177 GXZ262174:GXZ262177 HHV262174:HHV262177 HRR262174:HRR262177 IBN262174:IBN262177 ILJ262174:ILJ262177 IVF262174:IVF262177 JFB262174:JFB262177 JOX262174:JOX262177 JYT262174:JYT262177 KIP262174:KIP262177 KSL262174:KSL262177 LCH262174:LCH262177 LMD262174:LMD262177 LVZ262174:LVZ262177 MFV262174:MFV262177 MPR262174:MPR262177 MZN262174:MZN262177 NJJ262174:NJJ262177 NTF262174:NTF262177 ODB262174:ODB262177 OMX262174:OMX262177 OWT262174:OWT262177 PGP262174:PGP262177 PQL262174:PQL262177 QAH262174:QAH262177 QKD262174:QKD262177 QTZ262174:QTZ262177 RDV262174:RDV262177 RNR262174:RNR262177 RXN262174:RXN262177 SHJ262174:SHJ262177 SRF262174:SRF262177 TBB262174:TBB262177 TKX262174:TKX262177 TUT262174:TUT262177 UEP262174:UEP262177 UOL262174:UOL262177 UYH262174:UYH262177 VID262174:VID262177 VRZ262174:VRZ262177 WBV262174:WBV262177 WLR262174:WLR262177 WVN262174:WVN262177 F327710:F327713 JB327710:JB327713 SX327710:SX327713 ACT327710:ACT327713 AMP327710:AMP327713 AWL327710:AWL327713 BGH327710:BGH327713 BQD327710:BQD327713 BZZ327710:BZZ327713 CJV327710:CJV327713 CTR327710:CTR327713 DDN327710:DDN327713 DNJ327710:DNJ327713 DXF327710:DXF327713 EHB327710:EHB327713 EQX327710:EQX327713 FAT327710:FAT327713 FKP327710:FKP327713 FUL327710:FUL327713 GEH327710:GEH327713 GOD327710:GOD327713 GXZ327710:GXZ327713 HHV327710:HHV327713 HRR327710:HRR327713 IBN327710:IBN327713 ILJ327710:ILJ327713 IVF327710:IVF327713 JFB327710:JFB327713 JOX327710:JOX327713 JYT327710:JYT327713 KIP327710:KIP327713 KSL327710:KSL327713 LCH327710:LCH327713 LMD327710:LMD327713 LVZ327710:LVZ327713 MFV327710:MFV327713 MPR327710:MPR327713 MZN327710:MZN327713 NJJ327710:NJJ327713 NTF327710:NTF327713 ODB327710:ODB327713 OMX327710:OMX327713 OWT327710:OWT327713 PGP327710:PGP327713 PQL327710:PQL327713 QAH327710:QAH327713 QKD327710:QKD327713 QTZ327710:QTZ327713 RDV327710:RDV327713 RNR327710:RNR327713 RXN327710:RXN327713 SHJ327710:SHJ327713 SRF327710:SRF327713 TBB327710:TBB327713 TKX327710:TKX327713 TUT327710:TUT327713 UEP327710:UEP327713 UOL327710:UOL327713 UYH327710:UYH327713 VID327710:VID327713 VRZ327710:VRZ327713 WBV327710:WBV327713 WLR327710:WLR327713 WVN327710:WVN327713 F393246:F393249 JB393246:JB393249 SX393246:SX393249 ACT393246:ACT393249 AMP393246:AMP393249 AWL393246:AWL393249 BGH393246:BGH393249 BQD393246:BQD393249 BZZ393246:BZZ393249 CJV393246:CJV393249 CTR393246:CTR393249 DDN393246:DDN393249 DNJ393246:DNJ393249 DXF393246:DXF393249 EHB393246:EHB393249 EQX393246:EQX393249 FAT393246:FAT393249 FKP393246:FKP393249 FUL393246:FUL393249 GEH393246:GEH393249 GOD393246:GOD393249 GXZ393246:GXZ393249 HHV393246:HHV393249 HRR393246:HRR393249 IBN393246:IBN393249 ILJ393246:ILJ393249 IVF393246:IVF393249 JFB393246:JFB393249 JOX393246:JOX393249 JYT393246:JYT393249 KIP393246:KIP393249 KSL393246:KSL393249 LCH393246:LCH393249 LMD393246:LMD393249 LVZ393246:LVZ393249 MFV393246:MFV393249 MPR393246:MPR393249 MZN393246:MZN393249 NJJ393246:NJJ393249 NTF393246:NTF393249 ODB393246:ODB393249 OMX393246:OMX393249 OWT393246:OWT393249 PGP393246:PGP393249 PQL393246:PQL393249 QAH393246:QAH393249 QKD393246:QKD393249 QTZ393246:QTZ393249 RDV393246:RDV393249 RNR393246:RNR393249 RXN393246:RXN393249 SHJ393246:SHJ393249 SRF393246:SRF393249 TBB393246:TBB393249 TKX393246:TKX393249 TUT393246:TUT393249 UEP393246:UEP393249 UOL393246:UOL393249 UYH393246:UYH393249 VID393246:VID393249 VRZ393246:VRZ393249 WBV393246:WBV393249 WLR393246:WLR393249 WVN393246:WVN393249 F458782:F458785 JB458782:JB458785 SX458782:SX458785 ACT458782:ACT458785 AMP458782:AMP458785 AWL458782:AWL458785 BGH458782:BGH458785 BQD458782:BQD458785 BZZ458782:BZZ458785 CJV458782:CJV458785 CTR458782:CTR458785 DDN458782:DDN458785 DNJ458782:DNJ458785 DXF458782:DXF458785 EHB458782:EHB458785 EQX458782:EQX458785 FAT458782:FAT458785 FKP458782:FKP458785 FUL458782:FUL458785 GEH458782:GEH458785 GOD458782:GOD458785 GXZ458782:GXZ458785 HHV458782:HHV458785 HRR458782:HRR458785 IBN458782:IBN458785 ILJ458782:ILJ458785 IVF458782:IVF458785 JFB458782:JFB458785 JOX458782:JOX458785 JYT458782:JYT458785 KIP458782:KIP458785 KSL458782:KSL458785 LCH458782:LCH458785 LMD458782:LMD458785 LVZ458782:LVZ458785 MFV458782:MFV458785 MPR458782:MPR458785 MZN458782:MZN458785 NJJ458782:NJJ458785 NTF458782:NTF458785 ODB458782:ODB458785 OMX458782:OMX458785 OWT458782:OWT458785 PGP458782:PGP458785 PQL458782:PQL458785 QAH458782:QAH458785 QKD458782:QKD458785 QTZ458782:QTZ458785 RDV458782:RDV458785 RNR458782:RNR458785 RXN458782:RXN458785 SHJ458782:SHJ458785 SRF458782:SRF458785 TBB458782:TBB458785 TKX458782:TKX458785 TUT458782:TUT458785 UEP458782:UEP458785 UOL458782:UOL458785 UYH458782:UYH458785 VID458782:VID458785 VRZ458782:VRZ458785 WBV458782:WBV458785 WLR458782:WLR458785 WVN458782:WVN458785 F524318:F524321 JB524318:JB524321 SX524318:SX524321 ACT524318:ACT524321 AMP524318:AMP524321 AWL524318:AWL524321 BGH524318:BGH524321 BQD524318:BQD524321 BZZ524318:BZZ524321 CJV524318:CJV524321 CTR524318:CTR524321 DDN524318:DDN524321 DNJ524318:DNJ524321 DXF524318:DXF524321 EHB524318:EHB524321 EQX524318:EQX524321 FAT524318:FAT524321 FKP524318:FKP524321 FUL524318:FUL524321 GEH524318:GEH524321 GOD524318:GOD524321 GXZ524318:GXZ524321 HHV524318:HHV524321 HRR524318:HRR524321 IBN524318:IBN524321 ILJ524318:ILJ524321 IVF524318:IVF524321 JFB524318:JFB524321 JOX524318:JOX524321 JYT524318:JYT524321 KIP524318:KIP524321 KSL524318:KSL524321 LCH524318:LCH524321 LMD524318:LMD524321 LVZ524318:LVZ524321 MFV524318:MFV524321 MPR524318:MPR524321 MZN524318:MZN524321 NJJ524318:NJJ524321 NTF524318:NTF524321 ODB524318:ODB524321 OMX524318:OMX524321 OWT524318:OWT524321 PGP524318:PGP524321 PQL524318:PQL524321 QAH524318:QAH524321 QKD524318:QKD524321 QTZ524318:QTZ524321 RDV524318:RDV524321 RNR524318:RNR524321 RXN524318:RXN524321 SHJ524318:SHJ524321 SRF524318:SRF524321 TBB524318:TBB524321 TKX524318:TKX524321 TUT524318:TUT524321 UEP524318:UEP524321 UOL524318:UOL524321 UYH524318:UYH524321 VID524318:VID524321 VRZ524318:VRZ524321 WBV524318:WBV524321 WLR524318:WLR524321 WVN524318:WVN524321 F589854:F589857 JB589854:JB589857 SX589854:SX589857 ACT589854:ACT589857 AMP589854:AMP589857 AWL589854:AWL589857 BGH589854:BGH589857 BQD589854:BQD589857 BZZ589854:BZZ589857 CJV589854:CJV589857 CTR589854:CTR589857 DDN589854:DDN589857 DNJ589854:DNJ589857 DXF589854:DXF589857 EHB589854:EHB589857 EQX589854:EQX589857 FAT589854:FAT589857 FKP589854:FKP589857 FUL589854:FUL589857 GEH589854:GEH589857 GOD589854:GOD589857 GXZ589854:GXZ589857 HHV589854:HHV589857 HRR589854:HRR589857 IBN589854:IBN589857 ILJ589854:ILJ589857 IVF589854:IVF589857 JFB589854:JFB589857 JOX589854:JOX589857 JYT589854:JYT589857 KIP589854:KIP589857 KSL589854:KSL589857 LCH589854:LCH589857 LMD589854:LMD589857 LVZ589854:LVZ589857 MFV589854:MFV589857 MPR589854:MPR589857 MZN589854:MZN589857 NJJ589854:NJJ589857 NTF589854:NTF589857 ODB589854:ODB589857 OMX589854:OMX589857 OWT589854:OWT589857 PGP589854:PGP589857 PQL589854:PQL589857 QAH589854:QAH589857 QKD589854:QKD589857 QTZ589854:QTZ589857 RDV589854:RDV589857 RNR589854:RNR589857 RXN589854:RXN589857 SHJ589854:SHJ589857 SRF589854:SRF589857 TBB589854:TBB589857 TKX589854:TKX589857 TUT589854:TUT589857 UEP589854:UEP589857 UOL589854:UOL589857 UYH589854:UYH589857 VID589854:VID589857 VRZ589854:VRZ589857 WBV589854:WBV589857 WLR589854:WLR589857 WVN589854:WVN589857 F655390:F655393 JB655390:JB655393 SX655390:SX655393 ACT655390:ACT655393 AMP655390:AMP655393 AWL655390:AWL655393 BGH655390:BGH655393 BQD655390:BQD655393 BZZ655390:BZZ655393 CJV655390:CJV655393 CTR655390:CTR655393 DDN655390:DDN655393 DNJ655390:DNJ655393 DXF655390:DXF655393 EHB655390:EHB655393 EQX655390:EQX655393 FAT655390:FAT655393 FKP655390:FKP655393 FUL655390:FUL655393 GEH655390:GEH655393 GOD655390:GOD655393 GXZ655390:GXZ655393 HHV655390:HHV655393 HRR655390:HRR655393 IBN655390:IBN655393 ILJ655390:ILJ655393 IVF655390:IVF655393 JFB655390:JFB655393 JOX655390:JOX655393 JYT655390:JYT655393 KIP655390:KIP655393 KSL655390:KSL655393 LCH655390:LCH655393 LMD655390:LMD655393 LVZ655390:LVZ655393 MFV655390:MFV655393 MPR655390:MPR655393 MZN655390:MZN655393 NJJ655390:NJJ655393 NTF655390:NTF655393 ODB655390:ODB655393 OMX655390:OMX655393 OWT655390:OWT655393 PGP655390:PGP655393 PQL655390:PQL655393 QAH655390:QAH655393 QKD655390:QKD655393 QTZ655390:QTZ655393 RDV655390:RDV655393 RNR655390:RNR655393 RXN655390:RXN655393 SHJ655390:SHJ655393 SRF655390:SRF655393 TBB655390:TBB655393 TKX655390:TKX655393 TUT655390:TUT655393 UEP655390:UEP655393 UOL655390:UOL655393 UYH655390:UYH655393 VID655390:VID655393 VRZ655390:VRZ655393 WBV655390:WBV655393 WLR655390:WLR655393 WVN655390:WVN655393 F720926:F720929 JB720926:JB720929 SX720926:SX720929 ACT720926:ACT720929 AMP720926:AMP720929 AWL720926:AWL720929 BGH720926:BGH720929 BQD720926:BQD720929 BZZ720926:BZZ720929 CJV720926:CJV720929 CTR720926:CTR720929 DDN720926:DDN720929 DNJ720926:DNJ720929 DXF720926:DXF720929 EHB720926:EHB720929 EQX720926:EQX720929 FAT720926:FAT720929 FKP720926:FKP720929 FUL720926:FUL720929 GEH720926:GEH720929 GOD720926:GOD720929 GXZ720926:GXZ720929 HHV720926:HHV720929 HRR720926:HRR720929 IBN720926:IBN720929 ILJ720926:ILJ720929 IVF720926:IVF720929 JFB720926:JFB720929 JOX720926:JOX720929 JYT720926:JYT720929 KIP720926:KIP720929 KSL720926:KSL720929 LCH720926:LCH720929 LMD720926:LMD720929 LVZ720926:LVZ720929 MFV720926:MFV720929 MPR720926:MPR720929 MZN720926:MZN720929 NJJ720926:NJJ720929 NTF720926:NTF720929 ODB720926:ODB720929 OMX720926:OMX720929 OWT720926:OWT720929 PGP720926:PGP720929 PQL720926:PQL720929 QAH720926:QAH720929 QKD720926:QKD720929 QTZ720926:QTZ720929 RDV720926:RDV720929 RNR720926:RNR720929 RXN720926:RXN720929 SHJ720926:SHJ720929 SRF720926:SRF720929 TBB720926:TBB720929 TKX720926:TKX720929 TUT720926:TUT720929 UEP720926:UEP720929 UOL720926:UOL720929 UYH720926:UYH720929 VID720926:VID720929 VRZ720926:VRZ720929 WBV720926:WBV720929 WLR720926:WLR720929 WVN720926:WVN720929 F786462:F786465 JB786462:JB786465 SX786462:SX786465 ACT786462:ACT786465 AMP786462:AMP786465 AWL786462:AWL786465 BGH786462:BGH786465 BQD786462:BQD786465 BZZ786462:BZZ786465 CJV786462:CJV786465 CTR786462:CTR786465 DDN786462:DDN786465 DNJ786462:DNJ786465 DXF786462:DXF786465 EHB786462:EHB786465 EQX786462:EQX786465 FAT786462:FAT786465 FKP786462:FKP786465 FUL786462:FUL786465 GEH786462:GEH786465 GOD786462:GOD786465 GXZ786462:GXZ786465 HHV786462:HHV786465 HRR786462:HRR786465 IBN786462:IBN786465 ILJ786462:ILJ786465 IVF786462:IVF786465 JFB786462:JFB786465 JOX786462:JOX786465 JYT786462:JYT786465 KIP786462:KIP786465 KSL786462:KSL786465 LCH786462:LCH786465 LMD786462:LMD786465 LVZ786462:LVZ786465 MFV786462:MFV786465 MPR786462:MPR786465 MZN786462:MZN786465 NJJ786462:NJJ786465 NTF786462:NTF786465 ODB786462:ODB786465 OMX786462:OMX786465 OWT786462:OWT786465 PGP786462:PGP786465 PQL786462:PQL786465 QAH786462:QAH786465 QKD786462:QKD786465 QTZ786462:QTZ786465 RDV786462:RDV786465 RNR786462:RNR786465 RXN786462:RXN786465 SHJ786462:SHJ786465 SRF786462:SRF786465 TBB786462:TBB786465 TKX786462:TKX786465 TUT786462:TUT786465 UEP786462:UEP786465 UOL786462:UOL786465 UYH786462:UYH786465 VID786462:VID786465 VRZ786462:VRZ786465 WBV786462:WBV786465 WLR786462:WLR786465 WVN786462:WVN786465 F851998:F852001 JB851998:JB852001 SX851998:SX852001 ACT851998:ACT852001 AMP851998:AMP852001 AWL851998:AWL852001 BGH851998:BGH852001 BQD851998:BQD852001 BZZ851998:BZZ852001 CJV851998:CJV852001 CTR851998:CTR852001 DDN851998:DDN852001 DNJ851998:DNJ852001 DXF851998:DXF852001 EHB851998:EHB852001 EQX851998:EQX852001 FAT851998:FAT852001 FKP851998:FKP852001 FUL851998:FUL852001 GEH851998:GEH852001 GOD851998:GOD852001 GXZ851998:GXZ852001 HHV851998:HHV852001 HRR851998:HRR852001 IBN851998:IBN852001 ILJ851998:ILJ852001 IVF851998:IVF852001 JFB851998:JFB852001 JOX851998:JOX852001 JYT851998:JYT852001 KIP851998:KIP852001 KSL851998:KSL852001 LCH851998:LCH852001 LMD851998:LMD852001 LVZ851998:LVZ852001 MFV851998:MFV852001 MPR851998:MPR852001 MZN851998:MZN852001 NJJ851998:NJJ852001 NTF851998:NTF852001 ODB851998:ODB852001 OMX851998:OMX852001 OWT851998:OWT852001 PGP851998:PGP852001 PQL851998:PQL852001 QAH851998:QAH852001 QKD851998:QKD852001 QTZ851998:QTZ852001 RDV851998:RDV852001 RNR851998:RNR852001 RXN851998:RXN852001 SHJ851998:SHJ852001 SRF851998:SRF852001 TBB851998:TBB852001 TKX851998:TKX852001 TUT851998:TUT852001 UEP851998:UEP852001 UOL851998:UOL852001 UYH851998:UYH852001 VID851998:VID852001 VRZ851998:VRZ852001 WBV851998:WBV852001 WLR851998:WLR852001 WVN851998:WVN852001 F917534:F917537 JB917534:JB917537 SX917534:SX917537 ACT917534:ACT917537 AMP917534:AMP917537 AWL917534:AWL917537 BGH917534:BGH917537 BQD917534:BQD917537 BZZ917534:BZZ917537 CJV917534:CJV917537 CTR917534:CTR917537 DDN917534:DDN917537 DNJ917534:DNJ917537 DXF917534:DXF917537 EHB917534:EHB917537 EQX917534:EQX917537 FAT917534:FAT917537 FKP917534:FKP917537 FUL917534:FUL917537 GEH917534:GEH917537 GOD917534:GOD917537 GXZ917534:GXZ917537 HHV917534:HHV917537 HRR917534:HRR917537 IBN917534:IBN917537 ILJ917534:ILJ917537 IVF917534:IVF917537 JFB917534:JFB917537 JOX917534:JOX917537 JYT917534:JYT917537 KIP917534:KIP917537 KSL917534:KSL917537 LCH917534:LCH917537 LMD917534:LMD917537 LVZ917534:LVZ917537 MFV917534:MFV917537 MPR917534:MPR917537 MZN917534:MZN917537 NJJ917534:NJJ917537 NTF917534:NTF917537 ODB917534:ODB917537 OMX917534:OMX917537 OWT917534:OWT917537 PGP917534:PGP917537 PQL917534:PQL917537 QAH917534:QAH917537 QKD917534:QKD917537 QTZ917534:QTZ917537 RDV917534:RDV917537 RNR917534:RNR917537 RXN917534:RXN917537 SHJ917534:SHJ917537 SRF917534:SRF917537 TBB917534:TBB917537 TKX917534:TKX917537 TUT917534:TUT917537 UEP917534:UEP917537 UOL917534:UOL917537 UYH917534:UYH917537 VID917534:VID917537 VRZ917534:VRZ917537 WBV917534:WBV917537 WLR917534:WLR917537 WVN917534:WVN917537 F983070:F983073 JB983070:JB983073 SX983070:SX983073 ACT983070:ACT983073 AMP983070:AMP983073 AWL983070:AWL983073 BGH983070:BGH983073 BQD983070:BQD983073 BZZ983070:BZZ983073 CJV983070:CJV983073 CTR983070:CTR983073 DDN983070:DDN983073 DNJ983070:DNJ983073 DXF983070:DXF983073 EHB983070:EHB983073 EQX983070:EQX983073 FAT983070:FAT983073 FKP983070:FKP983073 FUL983070:FUL983073 GEH983070:GEH983073 GOD983070:GOD983073 GXZ983070:GXZ983073 HHV983070:HHV983073 HRR983070:HRR983073 IBN983070:IBN983073 ILJ983070:ILJ983073 IVF983070:IVF983073 JFB983070:JFB983073 JOX983070:JOX983073 JYT983070:JYT983073 KIP983070:KIP983073 KSL983070:KSL983073 LCH983070:LCH983073 LMD983070:LMD983073 LVZ983070:LVZ983073 MFV983070:MFV983073 MPR983070:MPR983073 MZN983070:MZN983073 NJJ983070:NJJ983073 NTF983070:NTF983073 ODB983070:ODB983073 OMX983070:OMX983073 OWT983070:OWT983073 PGP983070:PGP983073 PQL983070:PQL983073 QAH983070:QAH983073 QKD983070:QKD983073 QTZ983070:QTZ983073 RDV983070:RDV983073 RNR983070:RNR983073 RXN983070:RXN983073 SHJ983070:SHJ983073 SRF983070:SRF983073 TBB983070:TBB983073 TKX983070:TKX983073 TUT983070:TUT983073 UEP983070:UEP983073 UOL983070:UOL983073 UYH983070:UYH983073 VID983070:VID983073 VRZ983070:VRZ983073 WBV983070:WBV983073 WLR983070:WLR983073 WVN983070:WVN983073" xr:uid="{E783D4FE-BC0E-482F-9CC0-C7C5DF196986}">
      <formula1>$AJ$28:$AJ$29</formula1>
    </dataValidation>
  </dataValidations>
  <pageMargins left="0.78740157480314965" right="0.78740157480314965" top="0.98425196850393704" bottom="0.98425196850393704" header="0.51181102362204722" footer="0.51181102362204722"/>
  <pageSetup paperSize="9" scale="94" orientation="portrait" blackAndWhite="1" horizontalDpi="4294967293" verticalDpi="300" r:id="rId1"/>
  <headerFooter alignWithMargins="0">
    <oddFooter>&amp;LB-01,02,03 取り下げ届.xls&amp;Rｖｅｒ１.2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7B6E2-A3D5-4EEE-B3F3-E89876FE1296}">
  <dimension ref="A1:XFC39"/>
  <sheetViews>
    <sheetView view="pageBreakPreview" zoomScaleNormal="100" zoomScaleSheetLayoutView="100" workbookViewId="0"/>
  </sheetViews>
  <sheetFormatPr defaultColWidth="0" defaultRowHeight="20.100000000000001" customHeight="1"/>
  <cols>
    <col min="1" max="1" width="2.625" style="485" customWidth="1"/>
    <col min="2" max="2" width="3" style="485" customWidth="1"/>
    <col min="3" max="3" width="2.625" style="485" customWidth="1"/>
    <col min="4" max="4" width="2.5" style="485" customWidth="1"/>
    <col min="5" max="5" width="2.625" style="485" customWidth="1"/>
    <col min="6" max="6" width="3.125" style="485" customWidth="1"/>
    <col min="7" max="7" width="2.5" style="485" customWidth="1"/>
    <col min="8" max="15" width="2.625" style="485" customWidth="1"/>
    <col min="16" max="16" width="2.875" style="485" customWidth="1"/>
    <col min="17" max="41" width="2.625" style="485" customWidth="1"/>
    <col min="42" max="16383" width="0" style="485" hidden="1" customWidth="1"/>
    <col min="16384" max="16384" width="33.125" style="485" hidden="1" customWidth="1"/>
  </cols>
  <sheetData>
    <row r="1" spans="1:33">
      <c r="B1" s="485" t="s">
        <v>3228</v>
      </c>
      <c r="AG1" s="498" t="s">
        <v>3205</v>
      </c>
    </row>
    <row r="3" spans="1:33">
      <c r="A3" s="1077" t="s">
        <v>3229</v>
      </c>
      <c r="B3" s="1077"/>
      <c r="C3" s="1077"/>
      <c r="D3" s="1077"/>
      <c r="E3" s="1077"/>
      <c r="F3" s="1077"/>
      <c r="G3" s="1077"/>
      <c r="H3" s="1077"/>
      <c r="I3" s="1077"/>
      <c r="J3" s="1077"/>
      <c r="K3" s="1077"/>
      <c r="L3" s="1077"/>
      <c r="M3" s="1077"/>
      <c r="N3" s="1077"/>
      <c r="O3" s="1077"/>
      <c r="P3" s="1077"/>
      <c r="Q3" s="1077"/>
      <c r="R3" s="1077"/>
      <c r="S3" s="1077"/>
      <c r="T3" s="1077"/>
      <c r="U3" s="1077"/>
      <c r="V3" s="1077"/>
      <c r="W3" s="1077"/>
      <c r="X3" s="1077"/>
      <c r="Y3" s="1077"/>
      <c r="Z3" s="1077"/>
      <c r="AA3" s="1077"/>
      <c r="AB3" s="1077"/>
      <c r="AC3" s="1077"/>
      <c r="AD3" s="1077"/>
      <c r="AE3" s="1077"/>
      <c r="AF3" s="1078"/>
    </row>
    <row r="5" spans="1:33">
      <c r="C5" s="485" t="s">
        <v>3230</v>
      </c>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row>
    <row r="6" spans="1:33">
      <c r="C6" s="485" t="s">
        <v>3231</v>
      </c>
    </row>
    <row r="8" spans="1:33">
      <c r="C8" s="497" t="s">
        <v>3109</v>
      </c>
      <c r="E8" s="496"/>
      <c r="F8" s="496"/>
      <c r="G8" s="496"/>
      <c r="H8" s="496"/>
      <c r="I8" s="496"/>
      <c r="M8" s="485" t="s">
        <v>3110</v>
      </c>
    </row>
    <row r="11" spans="1:33">
      <c r="U11" s="668" t="str">
        <f ca="1">TEXT(TODAY(),"ggg")</f>
        <v>令和</v>
      </c>
      <c r="V11" s="668"/>
      <c r="W11" s="1062"/>
      <c r="X11" s="1062"/>
      <c r="Y11" s="668" t="s">
        <v>2822</v>
      </c>
      <c r="Z11" s="1062"/>
      <c r="AA11" s="1062"/>
      <c r="AB11" s="668" t="s">
        <v>2823</v>
      </c>
      <c r="AC11" s="1062"/>
      <c r="AD11" s="1062"/>
      <c r="AE11" s="668" t="s">
        <v>2824</v>
      </c>
    </row>
    <row r="13" spans="1:33">
      <c r="N13" s="491" t="s">
        <v>3111</v>
      </c>
      <c r="O13" s="491"/>
      <c r="P13" s="491"/>
      <c r="Q13" s="491"/>
      <c r="R13" s="491"/>
      <c r="S13" s="491"/>
      <c r="T13" s="491"/>
      <c r="U13" s="491"/>
      <c r="V13" s="491"/>
      <c r="W13" s="491"/>
      <c r="X13" s="491"/>
      <c r="Y13" s="491"/>
      <c r="Z13" s="491"/>
      <c r="AA13" s="491"/>
      <c r="AB13" s="491"/>
      <c r="AC13" s="491"/>
      <c r="AD13" s="491"/>
      <c r="AE13" s="491"/>
      <c r="AF13" s="491"/>
    </row>
    <row r="14" spans="1:33">
      <c r="F14" s="486"/>
      <c r="G14" s="486"/>
      <c r="H14" s="486"/>
      <c r="I14" s="486"/>
      <c r="J14" s="486"/>
      <c r="K14" s="486"/>
      <c r="L14" s="486"/>
      <c r="M14" s="486"/>
      <c r="N14" s="1081" t="str">
        <f>cst_wskakunin_owner1_NAME</f>
        <v>猫山　花子</v>
      </c>
      <c r="O14" s="1081"/>
      <c r="P14" s="1081"/>
      <c r="Q14" s="1081"/>
      <c r="R14" s="1081"/>
      <c r="S14" s="1081"/>
      <c r="T14" s="1081"/>
      <c r="U14" s="1081"/>
      <c r="V14" s="1081"/>
      <c r="W14" s="1081"/>
      <c r="X14" s="1081"/>
      <c r="Y14" s="1081"/>
      <c r="Z14" s="1081"/>
      <c r="AA14" s="1081"/>
      <c r="AB14" s="1081"/>
      <c r="AC14" s="1081"/>
      <c r="AD14" s="1081"/>
      <c r="AE14" s="1081"/>
    </row>
    <row r="15" spans="1:33">
      <c r="N15" s="1081"/>
      <c r="O15" s="1081"/>
      <c r="P15" s="1081"/>
      <c r="Q15" s="1081"/>
      <c r="R15" s="1081"/>
      <c r="S15" s="1081"/>
      <c r="T15" s="1081"/>
      <c r="U15" s="1081"/>
      <c r="V15" s="1081"/>
      <c r="W15" s="1081"/>
      <c r="X15" s="1081"/>
      <c r="Y15" s="1081"/>
      <c r="Z15" s="1081"/>
      <c r="AA15" s="1081"/>
      <c r="AB15" s="1081"/>
      <c r="AC15" s="1081"/>
      <c r="AD15" s="1081"/>
      <c r="AE15" s="1081"/>
    </row>
    <row r="16" spans="1:33">
      <c r="N16" s="485" t="s">
        <v>3112</v>
      </c>
    </row>
    <row r="17" spans="1:36">
      <c r="F17" s="490"/>
      <c r="G17" s="490"/>
      <c r="H17" s="490"/>
      <c r="I17" s="490"/>
      <c r="J17" s="490"/>
      <c r="K17" s="490"/>
      <c r="L17" s="490"/>
      <c r="M17" s="490"/>
      <c r="N17" s="1079" t="str">
        <f>cst_wskakunin_owner1__address</f>
        <v>大阪府茨木市山手台2-2-2</v>
      </c>
      <c r="O17" s="1079"/>
      <c r="P17" s="1079"/>
      <c r="Q17" s="1079"/>
      <c r="R17" s="1079"/>
      <c r="S17" s="1079"/>
      <c r="T17" s="1079"/>
      <c r="U17" s="1079"/>
      <c r="V17" s="1079"/>
      <c r="W17" s="1079"/>
      <c r="X17" s="1079"/>
      <c r="Y17" s="1079"/>
      <c r="Z17" s="1079"/>
      <c r="AA17" s="1079"/>
      <c r="AB17" s="1079"/>
      <c r="AC17" s="1079"/>
      <c r="AD17" s="1079"/>
      <c r="AE17" s="1079"/>
      <c r="AF17" s="490"/>
    </row>
    <row r="18" spans="1:36">
      <c r="A18" s="495"/>
      <c r="B18" s="495"/>
      <c r="C18" s="495"/>
      <c r="D18" s="495"/>
      <c r="E18" s="495"/>
      <c r="F18" s="495"/>
      <c r="G18" s="495"/>
      <c r="H18" s="495"/>
      <c r="I18" s="495"/>
      <c r="J18" s="495"/>
      <c r="K18" s="495"/>
      <c r="L18" s="495"/>
      <c r="M18" s="495"/>
      <c r="N18" s="1080"/>
      <c r="O18" s="1080"/>
      <c r="P18" s="1080"/>
      <c r="Q18" s="1080"/>
      <c r="R18" s="1080"/>
      <c r="S18" s="1080"/>
      <c r="T18" s="1080"/>
      <c r="U18" s="1080"/>
      <c r="V18" s="1080"/>
      <c r="W18" s="1080"/>
      <c r="X18" s="1080"/>
      <c r="Y18" s="1080"/>
      <c r="Z18" s="1080"/>
      <c r="AA18" s="1080"/>
      <c r="AB18" s="1080"/>
      <c r="AC18" s="1080"/>
      <c r="AD18" s="1080"/>
      <c r="AE18" s="1080"/>
      <c r="AF18" s="494"/>
    </row>
    <row r="19" spans="1:36">
      <c r="N19" s="493"/>
      <c r="O19" s="493"/>
      <c r="P19" s="493"/>
      <c r="Q19" s="493"/>
      <c r="R19" s="493"/>
      <c r="S19" s="493"/>
      <c r="T19" s="493"/>
      <c r="U19" s="493"/>
      <c r="V19" s="493"/>
      <c r="W19" s="493"/>
      <c r="X19" s="493"/>
      <c r="Y19" s="493"/>
      <c r="Z19" s="493"/>
      <c r="AA19" s="493"/>
      <c r="AB19" s="493"/>
      <c r="AC19" s="493"/>
      <c r="AD19" s="493"/>
      <c r="AE19" s="493"/>
      <c r="AF19" s="490"/>
    </row>
    <row r="20" spans="1:36">
      <c r="B20" s="1082" t="s">
        <v>3113</v>
      </c>
      <c r="C20" s="1082"/>
      <c r="D20" s="1082"/>
      <c r="E20" s="1082"/>
      <c r="F20" s="1082"/>
      <c r="G20" s="1082"/>
      <c r="H20" s="1082"/>
      <c r="I20" s="1082"/>
      <c r="J20" s="1082"/>
      <c r="K20" s="1082"/>
      <c r="L20" s="1082"/>
      <c r="M20" s="1082"/>
      <c r="N20" s="1082"/>
      <c r="O20" s="1082"/>
      <c r="P20" s="1082"/>
      <c r="Q20" s="1082"/>
      <c r="R20" s="1082"/>
      <c r="S20" s="1082"/>
      <c r="T20" s="1082"/>
      <c r="U20" s="1082"/>
      <c r="V20" s="1082"/>
      <c r="W20" s="1082"/>
      <c r="X20" s="1082"/>
      <c r="Y20" s="1082"/>
      <c r="Z20" s="1082"/>
      <c r="AA20" s="1082"/>
      <c r="AB20" s="1082"/>
      <c r="AC20" s="1082"/>
      <c r="AD20" s="1082"/>
      <c r="AE20" s="1082"/>
      <c r="AF20" s="1082"/>
      <c r="AG20" s="1082"/>
    </row>
    <row r="21" spans="1:36">
      <c r="B21" s="492"/>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row>
    <row r="22" spans="1:36">
      <c r="B22" s="487"/>
      <c r="C22" s="487" t="s">
        <v>3209</v>
      </c>
      <c r="D22" s="485" t="s">
        <v>3115</v>
      </c>
    </row>
    <row r="23" spans="1:36">
      <c r="B23" s="487"/>
      <c r="C23" s="487"/>
      <c r="D23" s="1071" t="str">
        <f>cst_wskakunin_BUILD__address</f>
        <v>大阪府茨木市山手台2-2-2</v>
      </c>
      <c r="E23" s="1071"/>
      <c r="F23" s="1071"/>
      <c r="G23" s="1071"/>
      <c r="H23" s="1071"/>
      <c r="I23" s="1071"/>
      <c r="J23" s="1071"/>
      <c r="K23" s="1071"/>
      <c r="L23" s="1071"/>
      <c r="M23" s="1071"/>
      <c r="N23" s="1071"/>
      <c r="O23" s="1071"/>
      <c r="P23" s="1071"/>
      <c r="Q23" s="1071"/>
      <c r="R23" s="1071"/>
      <c r="S23" s="1071"/>
      <c r="T23" s="1071"/>
      <c r="U23" s="1071"/>
      <c r="V23" s="1071"/>
      <c r="W23" s="1071"/>
      <c r="X23" s="1071"/>
      <c r="Y23" s="1071"/>
      <c r="Z23" s="1071"/>
      <c r="AA23" s="1071"/>
      <c r="AB23" s="1071"/>
      <c r="AC23" s="1071"/>
      <c r="AD23" s="1071"/>
      <c r="AE23" s="1071"/>
      <c r="AF23" s="491"/>
    </row>
    <row r="24" spans="1:36">
      <c r="B24" s="487"/>
      <c r="C24" s="487" t="s">
        <v>3210</v>
      </c>
      <c r="D24" s="1076" t="s">
        <v>2832</v>
      </c>
      <c r="E24" s="1076"/>
      <c r="F24" s="1076"/>
      <c r="G24" s="1076"/>
      <c r="H24" s="1076"/>
      <c r="I24" s="1076"/>
      <c r="L24" s="677" t="str">
        <f ca="1">TEXT(TODAY(),"ggg")</f>
        <v>令和</v>
      </c>
      <c r="M24" s="677"/>
      <c r="N24" s="1049">
        <f ca="1">cst_shinsei_KAKUNIN_KOUFU_DATE</f>
        <v>45363</v>
      </c>
      <c r="O24" s="1049"/>
      <c r="P24" s="677" t="s">
        <v>2822</v>
      </c>
      <c r="Q24" s="1050">
        <f ca="1">cst_shinsei_KAKUNIN_KOUFU_DATE</f>
        <v>45363</v>
      </c>
      <c r="R24" s="1050"/>
      <c r="S24" s="677" t="s">
        <v>2823</v>
      </c>
      <c r="T24" s="1051">
        <f ca="1">cst_shinsei_KAKUNIN_KOUFU_DATE</f>
        <v>45363</v>
      </c>
      <c r="U24" s="1051"/>
      <c r="V24" s="677" t="s">
        <v>2824</v>
      </c>
    </row>
    <row r="25" spans="1:36">
      <c r="B25" s="487"/>
      <c r="C25" s="487" t="s">
        <v>3212</v>
      </c>
      <c r="D25" s="1076" t="s">
        <v>106</v>
      </c>
      <c r="E25" s="1076"/>
      <c r="F25" s="1076"/>
      <c r="G25" s="1076"/>
      <c r="H25" s="1076"/>
      <c r="I25" s="1076"/>
      <c r="L25" s="1052" t="s">
        <v>3118</v>
      </c>
      <c r="M25" s="1052"/>
      <c r="N25" s="1053" t="str">
        <f ca="1">MID(cst_shinsei_KAKUNIN_ISSUE_NO,2,2)</f>
        <v>05</v>
      </c>
      <c r="O25" s="1053"/>
      <c r="P25" s="1054" t="str">
        <f ca="1">MID(cst_shinsei_KAKUNIN_ISSUE_NO,4,2)</f>
        <v>確認</v>
      </c>
      <c r="Q25" s="1054"/>
      <c r="R25" s="1054" t="str">
        <f ca="1">MID(cst_shinsei_KAKUNIN_ISSUE_NO,6,6)</f>
        <v>建築IPEC</v>
      </c>
      <c r="S25" s="1054"/>
      <c r="T25" s="1054"/>
      <c r="U25" s="1054"/>
      <c r="V25" s="1055" t="str">
        <f ca="1">RIGHT(cst_shinsei_KAKUNIN_ISSUE_NO,5)</f>
        <v>70003</v>
      </c>
      <c r="W25" s="1055"/>
      <c r="X25" s="1055"/>
      <c r="Y25" s="676" t="s">
        <v>2762</v>
      </c>
    </row>
    <row r="26" spans="1:36">
      <c r="B26" s="487"/>
      <c r="C26" s="487" t="s">
        <v>3232</v>
      </c>
      <c r="D26" s="485" t="s">
        <v>3233</v>
      </c>
      <c r="I26" s="666" t="s">
        <v>2745</v>
      </c>
      <c r="J26" s="485" t="s">
        <v>67</v>
      </c>
      <c r="M26" s="488" t="s">
        <v>2868</v>
      </c>
      <c r="N26" s="667" t="s">
        <v>2745</v>
      </c>
      <c r="O26" s="485" t="s">
        <v>3234</v>
      </c>
      <c r="Q26" s="667" t="s">
        <v>2745</v>
      </c>
      <c r="R26" s="485" t="s">
        <v>3235</v>
      </c>
      <c r="T26" s="1083" t="s">
        <v>3236</v>
      </c>
      <c r="U26" s="1083"/>
      <c r="V26" s="1083"/>
      <c r="W26" s="1083"/>
      <c r="X26" s="1083"/>
      <c r="Y26" s="1084"/>
      <c r="Z26" s="1084"/>
      <c r="AA26" s="1084"/>
      <c r="AB26" s="1084"/>
      <c r="AC26" s="489" t="s">
        <v>2902</v>
      </c>
      <c r="AJ26" s="485" t="s">
        <v>2745</v>
      </c>
    </row>
    <row r="27" spans="1:36">
      <c r="B27" s="487"/>
      <c r="C27" s="487"/>
      <c r="I27" s="486"/>
      <c r="T27" s="1083" t="s">
        <v>3237</v>
      </c>
      <c r="U27" s="1083"/>
      <c r="V27" s="1083"/>
      <c r="W27" s="1083"/>
      <c r="X27" s="1083"/>
      <c r="Y27" s="1084"/>
      <c r="Z27" s="1084"/>
      <c r="AA27" s="1084"/>
      <c r="AB27" s="1084"/>
      <c r="AC27" s="489" t="s">
        <v>2902</v>
      </c>
      <c r="AJ27" s="485" t="s">
        <v>2753</v>
      </c>
    </row>
    <row r="28" spans="1:36">
      <c r="B28" s="487"/>
      <c r="I28" s="666" t="s">
        <v>2745</v>
      </c>
      <c r="J28" s="485" t="s">
        <v>2430</v>
      </c>
      <c r="M28" s="488" t="s">
        <v>2868</v>
      </c>
      <c r="N28" s="667" t="s">
        <v>2745</v>
      </c>
      <c r="O28" s="485" t="s">
        <v>3234</v>
      </c>
      <c r="Q28" s="667" t="s">
        <v>2745</v>
      </c>
      <c r="R28" s="485" t="s">
        <v>3235</v>
      </c>
    </row>
    <row r="29" spans="1:36">
      <c r="B29" s="487"/>
      <c r="C29" s="487"/>
      <c r="I29" s="486"/>
    </row>
    <row r="30" spans="1:36">
      <c r="B30" s="487"/>
      <c r="C30" s="487"/>
      <c r="I30" s="666" t="s">
        <v>2745</v>
      </c>
      <c r="J30" s="485" t="s">
        <v>3221</v>
      </c>
      <c r="M30" s="488" t="s">
        <v>2868</v>
      </c>
      <c r="N30" s="667" t="s">
        <v>2745</v>
      </c>
      <c r="O30" s="485" t="s">
        <v>3234</v>
      </c>
      <c r="Q30" s="667" t="s">
        <v>2745</v>
      </c>
      <c r="R30" s="485" t="s">
        <v>3235</v>
      </c>
    </row>
    <row r="31" spans="1:36">
      <c r="B31" s="487"/>
      <c r="C31" s="487"/>
    </row>
    <row r="32" spans="1:36">
      <c r="B32" s="487"/>
      <c r="C32" s="487" t="s">
        <v>3238</v>
      </c>
      <c r="D32" s="485" t="s">
        <v>3239</v>
      </c>
    </row>
    <row r="33" spans="2:33">
      <c r="B33" s="487"/>
      <c r="C33" s="487"/>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row>
    <row r="34" spans="2:33">
      <c r="B34" s="487"/>
      <c r="C34" s="487"/>
      <c r="D34" s="675"/>
      <c r="E34" s="675"/>
      <c r="F34" s="675"/>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row>
    <row r="35" spans="2:33">
      <c r="B35" s="487"/>
      <c r="C35" s="487"/>
      <c r="D35" s="675"/>
      <c r="E35" s="675"/>
      <c r="F35" s="675"/>
      <c r="G35" s="675"/>
      <c r="H35" s="675"/>
      <c r="I35" s="675"/>
      <c r="J35" s="675"/>
      <c r="K35" s="675"/>
      <c r="L35" s="675"/>
      <c r="M35" s="675"/>
      <c r="N35" s="675"/>
      <c r="O35" s="675"/>
      <c r="P35" s="675"/>
      <c r="Q35" s="675"/>
      <c r="R35" s="675"/>
      <c r="S35" s="675"/>
      <c r="T35" s="675"/>
      <c r="U35" s="675"/>
      <c r="V35" s="675"/>
      <c r="W35" s="675"/>
      <c r="X35" s="675"/>
      <c r="Y35" s="675"/>
      <c r="Z35" s="675"/>
      <c r="AA35" s="675"/>
      <c r="AB35" s="675"/>
      <c r="AC35" s="675"/>
      <c r="AD35" s="675"/>
      <c r="AE35" s="675"/>
    </row>
    <row r="36" spans="2:33">
      <c r="B36" s="487"/>
      <c r="C36" s="487"/>
      <c r="AA36" s="486"/>
      <c r="AB36" s="486"/>
      <c r="AD36" s="486"/>
      <c r="AE36" s="486"/>
      <c r="AF36" s="486"/>
      <c r="AG36" s="486"/>
    </row>
    <row r="37" spans="2:33">
      <c r="C37" s="485" t="s">
        <v>3099</v>
      </c>
      <c r="D37" s="485">
        <v>1</v>
      </c>
      <c r="E37" s="485" t="s">
        <v>3224</v>
      </c>
    </row>
    <row r="38" spans="2:33">
      <c r="D38" s="485">
        <v>2</v>
      </c>
      <c r="E38" s="485" t="s">
        <v>3225</v>
      </c>
      <c r="H38" s="486" t="s">
        <v>2745</v>
      </c>
      <c r="I38" s="485" t="s">
        <v>3226</v>
      </c>
      <c r="K38" s="485" t="s">
        <v>3227</v>
      </c>
      <c r="V38" s="486"/>
      <c r="W38" s="486"/>
      <c r="X38" s="486"/>
      <c r="Y38" s="486"/>
      <c r="Z38" s="486"/>
    </row>
    <row r="39" spans="2:33">
      <c r="D39" s="485">
        <v>3</v>
      </c>
      <c r="E39" s="485" t="s">
        <v>3240</v>
      </c>
      <c r="H39" s="486"/>
    </row>
  </sheetData>
  <mergeCells count="22">
    <mergeCell ref="T26:X26"/>
    <mergeCell ref="T27:X27"/>
    <mergeCell ref="Y26:AB26"/>
    <mergeCell ref="Y27:AB27"/>
    <mergeCell ref="N24:O24"/>
    <mergeCell ref="Q24:R24"/>
    <mergeCell ref="T24:U24"/>
    <mergeCell ref="D25:I25"/>
    <mergeCell ref="D24:I24"/>
    <mergeCell ref="D23:AE23"/>
    <mergeCell ref="A3:AF3"/>
    <mergeCell ref="W11:X11"/>
    <mergeCell ref="Z11:AA11"/>
    <mergeCell ref="AC11:AD11"/>
    <mergeCell ref="N17:AE18"/>
    <mergeCell ref="N25:O25"/>
    <mergeCell ref="P25:Q25"/>
    <mergeCell ref="R25:U25"/>
    <mergeCell ref="V25:X25"/>
    <mergeCell ref="L25:M25"/>
    <mergeCell ref="N14:AE15"/>
    <mergeCell ref="B20:AG20"/>
  </mergeCells>
  <phoneticPr fontId="7"/>
  <dataValidations count="6">
    <dataValidation imeMode="hiragana" allowBlank="1" showInputMessage="1" showErrorMessage="1" sqref="F36:AB36 JB36:JX36 SX36:TT36 ACT36:ADP36 AMP36:ANL36 AWL36:AXH36 BGH36:BHD36 BQD36:BQZ36 BZZ36:CAV36 CJV36:CKR36 CTR36:CUN36 DDN36:DEJ36 DNJ36:DOF36 DXF36:DYB36 EHB36:EHX36 EQX36:ERT36 FAT36:FBP36 FKP36:FLL36 FUL36:FVH36 GEH36:GFD36 GOD36:GOZ36 GXZ36:GYV36 HHV36:HIR36 HRR36:HSN36 IBN36:ICJ36 ILJ36:IMF36 IVF36:IWB36 JFB36:JFX36 JOX36:JPT36 JYT36:JZP36 KIP36:KJL36 KSL36:KTH36 LCH36:LDD36 LMD36:LMZ36 LVZ36:LWV36 MFV36:MGR36 MPR36:MQN36 MZN36:NAJ36 NJJ36:NKF36 NTF36:NUB36 ODB36:ODX36 OMX36:ONT36 OWT36:OXP36 PGP36:PHL36 PQL36:PRH36 QAH36:QBD36 QKD36:QKZ36 QTZ36:QUV36 RDV36:RER36 RNR36:RON36 RXN36:RYJ36 SHJ36:SIF36 SRF36:SSB36 TBB36:TBX36 TKX36:TLT36 TUT36:TVP36 UEP36:UFL36 UOL36:UPH36 UYH36:UZD36 VID36:VIZ36 VRZ36:VSV36 WBV36:WCR36 WLR36:WMN36 WVN36:WWJ36 F65572:AB65572 JB65572:JX65572 SX65572:TT65572 ACT65572:ADP65572 AMP65572:ANL65572 AWL65572:AXH65572 BGH65572:BHD65572 BQD65572:BQZ65572 BZZ65572:CAV65572 CJV65572:CKR65572 CTR65572:CUN65572 DDN65572:DEJ65572 DNJ65572:DOF65572 DXF65572:DYB65572 EHB65572:EHX65572 EQX65572:ERT65572 FAT65572:FBP65572 FKP65572:FLL65572 FUL65572:FVH65572 GEH65572:GFD65572 GOD65572:GOZ65572 GXZ65572:GYV65572 HHV65572:HIR65572 HRR65572:HSN65572 IBN65572:ICJ65572 ILJ65572:IMF65572 IVF65572:IWB65572 JFB65572:JFX65572 JOX65572:JPT65572 JYT65572:JZP65572 KIP65572:KJL65572 KSL65572:KTH65572 LCH65572:LDD65572 LMD65572:LMZ65572 LVZ65572:LWV65572 MFV65572:MGR65572 MPR65572:MQN65572 MZN65572:NAJ65572 NJJ65572:NKF65572 NTF65572:NUB65572 ODB65572:ODX65572 OMX65572:ONT65572 OWT65572:OXP65572 PGP65572:PHL65572 PQL65572:PRH65572 QAH65572:QBD65572 QKD65572:QKZ65572 QTZ65572:QUV65572 RDV65572:RER65572 RNR65572:RON65572 RXN65572:RYJ65572 SHJ65572:SIF65572 SRF65572:SSB65572 TBB65572:TBX65572 TKX65572:TLT65572 TUT65572:TVP65572 UEP65572:UFL65572 UOL65572:UPH65572 UYH65572:UZD65572 VID65572:VIZ65572 VRZ65572:VSV65572 WBV65572:WCR65572 WLR65572:WMN65572 WVN65572:WWJ65572 F131108:AB131108 JB131108:JX131108 SX131108:TT131108 ACT131108:ADP131108 AMP131108:ANL131108 AWL131108:AXH131108 BGH131108:BHD131108 BQD131108:BQZ131108 BZZ131108:CAV131108 CJV131108:CKR131108 CTR131108:CUN131108 DDN131108:DEJ131108 DNJ131108:DOF131108 DXF131108:DYB131108 EHB131108:EHX131108 EQX131108:ERT131108 FAT131108:FBP131108 FKP131108:FLL131108 FUL131108:FVH131108 GEH131108:GFD131108 GOD131108:GOZ131108 GXZ131108:GYV131108 HHV131108:HIR131108 HRR131108:HSN131108 IBN131108:ICJ131108 ILJ131108:IMF131108 IVF131108:IWB131108 JFB131108:JFX131108 JOX131108:JPT131108 JYT131108:JZP131108 KIP131108:KJL131108 KSL131108:KTH131108 LCH131108:LDD131108 LMD131108:LMZ131108 LVZ131108:LWV131108 MFV131108:MGR131108 MPR131108:MQN131108 MZN131108:NAJ131108 NJJ131108:NKF131108 NTF131108:NUB131108 ODB131108:ODX131108 OMX131108:ONT131108 OWT131108:OXP131108 PGP131108:PHL131108 PQL131108:PRH131108 QAH131108:QBD131108 QKD131108:QKZ131108 QTZ131108:QUV131108 RDV131108:RER131108 RNR131108:RON131108 RXN131108:RYJ131108 SHJ131108:SIF131108 SRF131108:SSB131108 TBB131108:TBX131108 TKX131108:TLT131108 TUT131108:TVP131108 UEP131108:UFL131108 UOL131108:UPH131108 UYH131108:UZD131108 VID131108:VIZ131108 VRZ131108:VSV131108 WBV131108:WCR131108 WLR131108:WMN131108 WVN131108:WWJ131108 F196644:AB196644 JB196644:JX196644 SX196644:TT196644 ACT196644:ADP196644 AMP196644:ANL196644 AWL196644:AXH196644 BGH196644:BHD196644 BQD196644:BQZ196644 BZZ196644:CAV196644 CJV196644:CKR196644 CTR196644:CUN196644 DDN196644:DEJ196644 DNJ196644:DOF196644 DXF196644:DYB196644 EHB196644:EHX196644 EQX196644:ERT196644 FAT196644:FBP196644 FKP196644:FLL196644 FUL196644:FVH196644 GEH196644:GFD196644 GOD196644:GOZ196644 GXZ196644:GYV196644 HHV196644:HIR196644 HRR196644:HSN196644 IBN196644:ICJ196644 ILJ196644:IMF196644 IVF196644:IWB196644 JFB196644:JFX196644 JOX196644:JPT196644 JYT196644:JZP196644 KIP196644:KJL196644 KSL196644:KTH196644 LCH196644:LDD196644 LMD196644:LMZ196644 LVZ196644:LWV196644 MFV196644:MGR196644 MPR196644:MQN196644 MZN196644:NAJ196644 NJJ196644:NKF196644 NTF196644:NUB196644 ODB196644:ODX196644 OMX196644:ONT196644 OWT196644:OXP196644 PGP196644:PHL196644 PQL196644:PRH196644 QAH196644:QBD196644 QKD196644:QKZ196644 QTZ196644:QUV196644 RDV196644:RER196644 RNR196644:RON196644 RXN196644:RYJ196644 SHJ196644:SIF196644 SRF196644:SSB196644 TBB196644:TBX196644 TKX196644:TLT196644 TUT196644:TVP196644 UEP196644:UFL196644 UOL196644:UPH196644 UYH196644:UZD196644 VID196644:VIZ196644 VRZ196644:VSV196644 WBV196644:WCR196644 WLR196644:WMN196644 WVN196644:WWJ196644 F262180:AB262180 JB262180:JX262180 SX262180:TT262180 ACT262180:ADP262180 AMP262180:ANL262180 AWL262180:AXH262180 BGH262180:BHD262180 BQD262180:BQZ262180 BZZ262180:CAV262180 CJV262180:CKR262180 CTR262180:CUN262180 DDN262180:DEJ262180 DNJ262180:DOF262180 DXF262180:DYB262180 EHB262180:EHX262180 EQX262180:ERT262180 FAT262180:FBP262180 FKP262180:FLL262180 FUL262180:FVH262180 GEH262180:GFD262180 GOD262180:GOZ262180 GXZ262180:GYV262180 HHV262180:HIR262180 HRR262180:HSN262180 IBN262180:ICJ262180 ILJ262180:IMF262180 IVF262180:IWB262180 JFB262180:JFX262180 JOX262180:JPT262180 JYT262180:JZP262180 KIP262180:KJL262180 KSL262180:KTH262180 LCH262180:LDD262180 LMD262180:LMZ262180 LVZ262180:LWV262180 MFV262180:MGR262180 MPR262180:MQN262180 MZN262180:NAJ262180 NJJ262180:NKF262180 NTF262180:NUB262180 ODB262180:ODX262180 OMX262180:ONT262180 OWT262180:OXP262180 PGP262180:PHL262180 PQL262180:PRH262180 QAH262180:QBD262180 QKD262180:QKZ262180 QTZ262180:QUV262180 RDV262180:RER262180 RNR262180:RON262180 RXN262180:RYJ262180 SHJ262180:SIF262180 SRF262180:SSB262180 TBB262180:TBX262180 TKX262180:TLT262180 TUT262180:TVP262180 UEP262180:UFL262180 UOL262180:UPH262180 UYH262180:UZD262180 VID262180:VIZ262180 VRZ262180:VSV262180 WBV262180:WCR262180 WLR262180:WMN262180 WVN262180:WWJ262180 F327716:AB327716 JB327716:JX327716 SX327716:TT327716 ACT327716:ADP327716 AMP327716:ANL327716 AWL327716:AXH327716 BGH327716:BHD327716 BQD327716:BQZ327716 BZZ327716:CAV327716 CJV327716:CKR327716 CTR327716:CUN327716 DDN327716:DEJ327716 DNJ327716:DOF327716 DXF327716:DYB327716 EHB327716:EHX327716 EQX327716:ERT327716 FAT327716:FBP327716 FKP327716:FLL327716 FUL327716:FVH327716 GEH327716:GFD327716 GOD327716:GOZ327716 GXZ327716:GYV327716 HHV327716:HIR327716 HRR327716:HSN327716 IBN327716:ICJ327716 ILJ327716:IMF327716 IVF327716:IWB327716 JFB327716:JFX327716 JOX327716:JPT327716 JYT327716:JZP327716 KIP327716:KJL327716 KSL327716:KTH327716 LCH327716:LDD327716 LMD327716:LMZ327716 LVZ327716:LWV327716 MFV327716:MGR327716 MPR327716:MQN327716 MZN327716:NAJ327716 NJJ327716:NKF327716 NTF327716:NUB327716 ODB327716:ODX327716 OMX327716:ONT327716 OWT327716:OXP327716 PGP327716:PHL327716 PQL327716:PRH327716 QAH327716:QBD327716 QKD327716:QKZ327716 QTZ327716:QUV327716 RDV327716:RER327716 RNR327716:RON327716 RXN327716:RYJ327716 SHJ327716:SIF327716 SRF327716:SSB327716 TBB327716:TBX327716 TKX327716:TLT327716 TUT327716:TVP327716 UEP327716:UFL327716 UOL327716:UPH327716 UYH327716:UZD327716 VID327716:VIZ327716 VRZ327716:VSV327716 WBV327716:WCR327716 WLR327716:WMN327716 WVN327716:WWJ327716 F393252:AB393252 JB393252:JX393252 SX393252:TT393252 ACT393252:ADP393252 AMP393252:ANL393252 AWL393252:AXH393252 BGH393252:BHD393252 BQD393252:BQZ393252 BZZ393252:CAV393252 CJV393252:CKR393252 CTR393252:CUN393252 DDN393252:DEJ393252 DNJ393252:DOF393252 DXF393252:DYB393252 EHB393252:EHX393252 EQX393252:ERT393252 FAT393252:FBP393252 FKP393252:FLL393252 FUL393252:FVH393252 GEH393252:GFD393252 GOD393252:GOZ393252 GXZ393252:GYV393252 HHV393252:HIR393252 HRR393252:HSN393252 IBN393252:ICJ393252 ILJ393252:IMF393252 IVF393252:IWB393252 JFB393252:JFX393252 JOX393252:JPT393252 JYT393252:JZP393252 KIP393252:KJL393252 KSL393252:KTH393252 LCH393252:LDD393252 LMD393252:LMZ393252 LVZ393252:LWV393252 MFV393252:MGR393252 MPR393252:MQN393252 MZN393252:NAJ393252 NJJ393252:NKF393252 NTF393252:NUB393252 ODB393252:ODX393252 OMX393252:ONT393252 OWT393252:OXP393252 PGP393252:PHL393252 PQL393252:PRH393252 QAH393252:QBD393252 QKD393252:QKZ393252 QTZ393252:QUV393252 RDV393252:RER393252 RNR393252:RON393252 RXN393252:RYJ393252 SHJ393252:SIF393252 SRF393252:SSB393252 TBB393252:TBX393252 TKX393252:TLT393252 TUT393252:TVP393252 UEP393252:UFL393252 UOL393252:UPH393252 UYH393252:UZD393252 VID393252:VIZ393252 VRZ393252:VSV393252 WBV393252:WCR393252 WLR393252:WMN393252 WVN393252:WWJ393252 F458788:AB458788 JB458788:JX458788 SX458788:TT458788 ACT458788:ADP458788 AMP458788:ANL458788 AWL458788:AXH458788 BGH458788:BHD458788 BQD458788:BQZ458788 BZZ458788:CAV458788 CJV458788:CKR458788 CTR458788:CUN458788 DDN458788:DEJ458788 DNJ458788:DOF458788 DXF458788:DYB458788 EHB458788:EHX458788 EQX458788:ERT458788 FAT458788:FBP458788 FKP458788:FLL458788 FUL458788:FVH458788 GEH458788:GFD458788 GOD458788:GOZ458788 GXZ458788:GYV458788 HHV458788:HIR458788 HRR458788:HSN458788 IBN458788:ICJ458788 ILJ458788:IMF458788 IVF458788:IWB458788 JFB458788:JFX458788 JOX458788:JPT458788 JYT458788:JZP458788 KIP458788:KJL458788 KSL458788:KTH458788 LCH458788:LDD458788 LMD458788:LMZ458788 LVZ458788:LWV458788 MFV458788:MGR458788 MPR458788:MQN458788 MZN458788:NAJ458788 NJJ458788:NKF458788 NTF458788:NUB458788 ODB458788:ODX458788 OMX458788:ONT458788 OWT458788:OXP458788 PGP458788:PHL458788 PQL458788:PRH458788 QAH458788:QBD458788 QKD458788:QKZ458788 QTZ458788:QUV458788 RDV458788:RER458788 RNR458788:RON458788 RXN458788:RYJ458788 SHJ458788:SIF458788 SRF458788:SSB458788 TBB458788:TBX458788 TKX458788:TLT458788 TUT458788:TVP458788 UEP458788:UFL458788 UOL458788:UPH458788 UYH458788:UZD458788 VID458788:VIZ458788 VRZ458788:VSV458788 WBV458788:WCR458788 WLR458788:WMN458788 WVN458788:WWJ458788 F524324:AB524324 JB524324:JX524324 SX524324:TT524324 ACT524324:ADP524324 AMP524324:ANL524324 AWL524324:AXH524324 BGH524324:BHD524324 BQD524324:BQZ524324 BZZ524324:CAV524324 CJV524324:CKR524324 CTR524324:CUN524324 DDN524324:DEJ524324 DNJ524324:DOF524324 DXF524324:DYB524324 EHB524324:EHX524324 EQX524324:ERT524324 FAT524324:FBP524324 FKP524324:FLL524324 FUL524324:FVH524324 GEH524324:GFD524324 GOD524324:GOZ524324 GXZ524324:GYV524324 HHV524324:HIR524324 HRR524324:HSN524324 IBN524324:ICJ524324 ILJ524324:IMF524324 IVF524324:IWB524324 JFB524324:JFX524324 JOX524324:JPT524324 JYT524324:JZP524324 KIP524324:KJL524324 KSL524324:KTH524324 LCH524324:LDD524324 LMD524324:LMZ524324 LVZ524324:LWV524324 MFV524324:MGR524324 MPR524324:MQN524324 MZN524324:NAJ524324 NJJ524324:NKF524324 NTF524324:NUB524324 ODB524324:ODX524324 OMX524324:ONT524324 OWT524324:OXP524324 PGP524324:PHL524324 PQL524324:PRH524324 QAH524324:QBD524324 QKD524324:QKZ524324 QTZ524324:QUV524324 RDV524324:RER524324 RNR524324:RON524324 RXN524324:RYJ524324 SHJ524324:SIF524324 SRF524324:SSB524324 TBB524324:TBX524324 TKX524324:TLT524324 TUT524324:TVP524324 UEP524324:UFL524324 UOL524324:UPH524324 UYH524324:UZD524324 VID524324:VIZ524324 VRZ524324:VSV524324 WBV524324:WCR524324 WLR524324:WMN524324 WVN524324:WWJ524324 F589860:AB589860 JB589860:JX589860 SX589860:TT589860 ACT589860:ADP589860 AMP589860:ANL589860 AWL589860:AXH589860 BGH589860:BHD589860 BQD589860:BQZ589860 BZZ589860:CAV589860 CJV589860:CKR589860 CTR589860:CUN589860 DDN589860:DEJ589860 DNJ589860:DOF589860 DXF589860:DYB589860 EHB589860:EHX589860 EQX589860:ERT589860 FAT589860:FBP589860 FKP589860:FLL589860 FUL589860:FVH589860 GEH589860:GFD589860 GOD589860:GOZ589860 GXZ589860:GYV589860 HHV589860:HIR589860 HRR589860:HSN589860 IBN589860:ICJ589860 ILJ589860:IMF589860 IVF589860:IWB589860 JFB589860:JFX589860 JOX589860:JPT589860 JYT589860:JZP589860 KIP589860:KJL589860 KSL589860:KTH589860 LCH589860:LDD589860 LMD589860:LMZ589860 LVZ589860:LWV589860 MFV589860:MGR589860 MPR589860:MQN589860 MZN589860:NAJ589860 NJJ589860:NKF589860 NTF589860:NUB589860 ODB589860:ODX589860 OMX589860:ONT589860 OWT589860:OXP589860 PGP589860:PHL589860 PQL589860:PRH589860 QAH589860:QBD589860 QKD589860:QKZ589860 QTZ589860:QUV589860 RDV589860:RER589860 RNR589860:RON589860 RXN589860:RYJ589860 SHJ589860:SIF589860 SRF589860:SSB589860 TBB589860:TBX589860 TKX589860:TLT589860 TUT589860:TVP589860 UEP589860:UFL589860 UOL589860:UPH589860 UYH589860:UZD589860 VID589860:VIZ589860 VRZ589860:VSV589860 WBV589860:WCR589860 WLR589860:WMN589860 WVN589860:WWJ589860 F655396:AB655396 JB655396:JX655396 SX655396:TT655396 ACT655396:ADP655396 AMP655396:ANL655396 AWL655396:AXH655396 BGH655396:BHD655396 BQD655396:BQZ655396 BZZ655396:CAV655396 CJV655396:CKR655396 CTR655396:CUN655396 DDN655396:DEJ655396 DNJ655396:DOF655396 DXF655396:DYB655396 EHB655396:EHX655396 EQX655396:ERT655396 FAT655396:FBP655396 FKP655396:FLL655396 FUL655396:FVH655396 GEH655396:GFD655396 GOD655396:GOZ655396 GXZ655396:GYV655396 HHV655396:HIR655396 HRR655396:HSN655396 IBN655396:ICJ655396 ILJ655396:IMF655396 IVF655396:IWB655396 JFB655396:JFX655396 JOX655396:JPT655396 JYT655396:JZP655396 KIP655396:KJL655396 KSL655396:KTH655396 LCH655396:LDD655396 LMD655396:LMZ655396 LVZ655396:LWV655396 MFV655396:MGR655396 MPR655396:MQN655396 MZN655396:NAJ655396 NJJ655396:NKF655396 NTF655396:NUB655396 ODB655396:ODX655396 OMX655396:ONT655396 OWT655396:OXP655396 PGP655396:PHL655396 PQL655396:PRH655396 QAH655396:QBD655396 QKD655396:QKZ655396 QTZ655396:QUV655396 RDV655396:RER655396 RNR655396:RON655396 RXN655396:RYJ655396 SHJ655396:SIF655396 SRF655396:SSB655396 TBB655396:TBX655396 TKX655396:TLT655396 TUT655396:TVP655396 UEP655396:UFL655396 UOL655396:UPH655396 UYH655396:UZD655396 VID655396:VIZ655396 VRZ655396:VSV655396 WBV655396:WCR655396 WLR655396:WMN655396 WVN655396:WWJ655396 F720932:AB720932 JB720932:JX720932 SX720932:TT720932 ACT720932:ADP720932 AMP720932:ANL720932 AWL720932:AXH720932 BGH720932:BHD720932 BQD720932:BQZ720932 BZZ720932:CAV720932 CJV720932:CKR720932 CTR720932:CUN720932 DDN720932:DEJ720932 DNJ720932:DOF720932 DXF720932:DYB720932 EHB720932:EHX720932 EQX720932:ERT720932 FAT720932:FBP720932 FKP720932:FLL720932 FUL720932:FVH720932 GEH720932:GFD720932 GOD720932:GOZ720932 GXZ720932:GYV720932 HHV720932:HIR720932 HRR720932:HSN720932 IBN720932:ICJ720932 ILJ720932:IMF720932 IVF720932:IWB720932 JFB720932:JFX720932 JOX720932:JPT720932 JYT720932:JZP720932 KIP720932:KJL720932 KSL720932:KTH720932 LCH720932:LDD720932 LMD720932:LMZ720932 LVZ720932:LWV720932 MFV720932:MGR720932 MPR720932:MQN720932 MZN720932:NAJ720932 NJJ720932:NKF720932 NTF720932:NUB720932 ODB720932:ODX720932 OMX720932:ONT720932 OWT720932:OXP720932 PGP720932:PHL720932 PQL720932:PRH720932 QAH720932:QBD720932 QKD720932:QKZ720932 QTZ720932:QUV720932 RDV720932:RER720932 RNR720932:RON720932 RXN720932:RYJ720932 SHJ720932:SIF720932 SRF720932:SSB720932 TBB720932:TBX720932 TKX720932:TLT720932 TUT720932:TVP720932 UEP720932:UFL720932 UOL720932:UPH720932 UYH720932:UZD720932 VID720932:VIZ720932 VRZ720932:VSV720932 WBV720932:WCR720932 WLR720932:WMN720932 WVN720932:WWJ720932 F786468:AB786468 JB786468:JX786468 SX786468:TT786468 ACT786468:ADP786468 AMP786468:ANL786468 AWL786468:AXH786468 BGH786468:BHD786468 BQD786468:BQZ786468 BZZ786468:CAV786468 CJV786468:CKR786468 CTR786468:CUN786468 DDN786468:DEJ786468 DNJ786468:DOF786468 DXF786468:DYB786468 EHB786468:EHX786468 EQX786468:ERT786468 FAT786468:FBP786468 FKP786468:FLL786468 FUL786468:FVH786468 GEH786468:GFD786468 GOD786468:GOZ786468 GXZ786468:GYV786468 HHV786468:HIR786468 HRR786468:HSN786468 IBN786468:ICJ786468 ILJ786468:IMF786468 IVF786468:IWB786468 JFB786468:JFX786468 JOX786468:JPT786468 JYT786468:JZP786468 KIP786468:KJL786468 KSL786468:KTH786468 LCH786468:LDD786468 LMD786468:LMZ786468 LVZ786468:LWV786468 MFV786468:MGR786468 MPR786468:MQN786468 MZN786468:NAJ786468 NJJ786468:NKF786468 NTF786468:NUB786468 ODB786468:ODX786468 OMX786468:ONT786468 OWT786468:OXP786468 PGP786468:PHL786468 PQL786468:PRH786468 QAH786468:QBD786468 QKD786468:QKZ786468 QTZ786468:QUV786468 RDV786468:RER786468 RNR786468:RON786468 RXN786468:RYJ786468 SHJ786468:SIF786468 SRF786468:SSB786468 TBB786468:TBX786468 TKX786468:TLT786468 TUT786468:TVP786468 UEP786468:UFL786468 UOL786468:UPH786468 UYH786468:UZD786468 VID786468:VIZ786468 VRZ786468:VSV786468 WBV786468:WCR786468 WLR786468:WMN786468 WVN786468:WWJ786468 F852004:AB852004 JB852004:JX852004 SX852004:TT852004 ACT852004:ADP852004 AMP852004:ANL852004 AWL852004:AXH852004 BGH852004:BHD852004 BQD852004:BQZ852004 BZZ852004:CAV852004 CJV852004:CKR852004 CTR852004:CUN852004 DDN852004:DEJ852004 DNJ852004:DOF852004 DXF852004:DYB852004 EHB852004:EHX852004 EQX852004:ERT852004 FAT852004:FBP852004 FKP852004:FLL852004 FUL852004:FVH852004 GEH852004:GFD852004 GOD852004:GOZ852004 GXZ852004:GYV852004 HHV852004:HIR852004 HRR852004:HSN852004 IBN852004:ICJ852004 ILJ852004:IMF852004 IVF852004:IWB852004 JFB852004:JFX852004 JOX852004:JPT852004 JYT852004:JZP852004 KIP852004:KJL852004 KSL852004:KTH852004 LCH852004:LDD852004 LMD852004:LMZ852004 LVZ852004:LWV852004 MFV852004:MGR852004 MPR852004:MQN852004 MZN852004:NAJ852004 NJJ852004:NKF852004 NTF852004:NUB852004 ODB852004:ODX852004 OMX852004:ONT852004 OWT852004:OXP852004 PGP852004:PHL852004 PQL852004:PRH852004 QAH852004:QBD852004 QKD852004:QKZ852004 QTZ852004:QUV852004 RDV852004:RER852004 RNR852004:RON852004 RXN852004:RYJ852004 SHJ852004:SIF852004 SRF852004:SSB852004 TBB852004:TBX852004 TKX852004:TLT852004 TUT852004:TVP852004 UEP852004:UFL852004 UOL852004:UPH852004 UYH852004:UZD852004 VID852004:VIZ852004 VRZ852004:VSV852004 WBV852004:WCR852004 WLR852004:WMN852004 WVN852004:WWJ852004 F917540:AB917540 JB917540:JX917540 SX917540:TT917540 ACT917540:ADP917540 AMP917540:ANL917540 AWL917540:AXH917540 BGH917540:BHD917540 BQD917540:BQZ917540 BZZ917540:CAV917540 CJV917540:CKR917540 CTR917540:CUN917540 DDN917540:DEJ917540 DNJ917540:DOF917540 DXF917540:DYB917540 EHB917540:EHX917540 EQX917540:ERT917540 FAT917540:FBP917540 FKP917540:FLL917540 FUL917540:FVH917540 GEH917540:GFD917540 GOD917540:GOZ917540 GXZ917540:GYV917540 HHV917540:HIR917540 HRR917540:HSN917540 IBN917540:ICJ917540 ILJ917540:IMF917540 IVF917540:IWB917540 JFB917540:JFX917540 JOX917540:JPT917540 JYT917540:JZP917540 KIP917540:KJL917540 KSL917540:KTH917540 LCH917540:LDD917540 LMD917540:LMZ917540 LVZ917540:LWV917540 MFV917540:MGR917540 MPR917540:MQN917540 MZN917540:NAJ917540 NJJ917540:NKF917540 NTF917540:NUB917540 ODB917540:ODX917540 OMX917540:ONT917540 OWT917540:OXP917540 PGP917540:PHL917540 PQL917540:PRH917540 QAH917540:QBD917540 QKD917540:QKZ917540 QTZ917540:QUV917540 RDV917540:RER917540 RNR917540:RON917540 RXN917540:RYJ917540 SHJ917540:SIF917540 SRF917540:SSB917540 TBB917540:TBX917540 TKX917540:TLT917540 TUT917540:TVP917540 UEP917540:UFL917540 UOL917540:UPH917540 UYH917540:UZD917540 VID917540:VIZ917540 VRZ917540:VSV917540 WBV917540:WCR917540 WLR917540:WMN917540 WVN917540:WWJ917540 F983076:AB983076 JB983076:JX983076 SX983076:TT983076 ACT983076:ADP983076 AMP983076:ANL983076 AWL983076:AXH983076 BGH983076:BHD983076 BQD983076:BQZ983076 BZZ983076:CAV983076 CJV983076:CKR983076 CTR983076:CUN983076 DDN983076:DEJ983076 DNJ983076:DOF983076 DXF983076:DYB983076 EHB983076:EHX983076 EQX983076:ERT983076 FAT983076:FBP983076 FKP983076:FLL983076 FUL983076:FVH983076 GEH983076:GFD983076 GOD983076:GOZ983076 GXZ983076:GYV983076 HHV983076:HIR983076 HRR983076:HSN983076 IBN983076:ICJ983076 ILJ983076:IMF983076 IVF983076:IWB983076 JFB983076:JFX983076 JOX983076:JPT983076 JYT983076:JZP983076 KIP983076:KJL983076 KSL983076:KTH983076 LCH983076:LDD983076 LMD983076:LMZ983076 LVZ983076:LWV983076 MFV983076:MGR983076 MPR983076:MQN983076 MZN983076:NAJ983076 NJJ983076:NKF983076 NTF983076:NUB983076 ODB983076:ODX983076 OMX983076:ONT983076 OWT983076:OXP983076 PGP983076:PHL983076 PQL983076:PRH983076 QAH983076:QBD983076 QKD983076:QKZ983076 QTZ983076:QUV983076 RDV983076:RER983076 RNR983076:RON983076 RXN983076:RYJ983076 SHJ983076:SIF983076 SRF983076:SSB983076 TBB983076:TBX983076 TKX983076:TLT983076 TUT983076:TVP983076 UEP983076:UFL983076 UOL983076:UPH983076 UYH983076:UZD983076 VID983076:VIZ983076 VRZ983076:VSV983076 WBV983076:WCR983076 WLR983076:WMN983076 WVN983076:WWJ983076 AD36:AG36 JZ36:KC36 TV36:TY36 ADR36:ADU36 ANN36:ANQ36 AXJ36:AXM36 BHF36:BHI36 BRB36:BRE36 CAX36:CBA36 CKT36:CKW36 CUP36:CUS36 DEL36:DEO36 DOH36:DOK36 DYD36:DYG36 EHZ36:EIC36 ERV36:ERY36 FBR36:FBU36 FLN36:FLQ36 FVJ36:FVM36 GFF36:GFI36 GPB36:GPE36 GYX36:GZA36 HIT36:HIW36 HSP36:HSS36 ICL36:ICO36 IMH36:IMK36 IWD36:IWG36 JFZ36:JGC36 JPV36:JPY36 JZR36:JZU36 KJN36:KJQ36 KTJ36:KTM36 LDF36:LDI36 LNB36:LNE36 LWX36:LXA36 MGT36:MGW36 MQP36:MQS36 NAL36:NAO36 NKH36:NKK36 NUD36:NUG36 ODZ36:OEC36 ONV36:ONY36 OXR36:OXU36 PHN36:PHQ36 PRJ36:PRM36 QBF36:QBI36 QLB36:QLE36 QUX36:QVA36 RET36:REW36 ROP36:ROS36 RYL36:RYO36 SIH36:SIK36 SSD36:SSG36 TBZ36:TCC36 TLV36:TLY36 TVR36:TVU36 UFN36:UFQ36 UPJ36:UPM36 UZF36:UZI36 VJB36:VJE36 VSX36:VTA36 WCT36:WCW36 WMP36:WMS36 WWL36:WWO36 AD65572:AG65572 JZ65572:KC65572 TV65572:TY65572 ADR65572:ADU65572 ANN65572:ANQ65572 AXJ65572:AXM65572 BHF65572:BHI65572 BRB65572:BRE65572 CAX65572:CBA65572 CKT65572:CKW65572 CUP65572:CUS65572 DEL65572:DEO65572 DOH65572:DOK65572 DYD65572:DYG65572 EHZ65572:EIC65572 ERV65572:ERY65572 FBR65572:FBU65572 FLN65572:FLQ65572 FVJ65572:FVM65572 GFF65572:GFI65572 GPB65572:GPE65572 GYX65572:GZA65572 HIT65572:HIW65572 HSP65572:HSS65572 ICL65572:ICO65572 IMH65572:IMK65572 IWD65572:IWG65572 JFZ65572:JGC65572 JPV65572:JPY65572 JZR65572:JZU65572 KJN65572:KJQ65572 KTJ65572:KTM65572 LDF65572:LDI65572 LNB65572:LNE65572 LWX65572:LXA65572 MGT65572:MGW65572 MQP65572:MQS65572 NAL65572:NAO65572 NKH65572:NKK65572 NUD65572:NUG65572 ODZ65572:OEC65572 ONV65572:ONY65572 OXR65572:OXU65572 PHN65572:PHQ65572 PRJ65572:PRM65572 QBF65572:QBI65572 QLB65572:QLE65572 QUX65572:QVA65572 RET65572:REW65572 ROP65572:ROS65572 RYL65572:RYO65572 SIH65572:SIK65572 SSD65572:SSG65572 TBZ65572:TCC65572 TLV65572:TLY65572 TVR65572:TVU65572 UFN65572:UFQ65572 UPJ65572:UPM65572 UZF65572:UZI65572 VJB65572:VJE65572 VSX65572:VTA65572 WCT65572:WCW65572 WMP65572:WMS65572 WWL65572:WWO65572 AD131108:AG131108 JZ131108:KC131108 TV131108:TY131108 ADR131108:ADU131108 ANN131108:ANQ131108 AXJ131108:AXM131108 BHF131108:BHI131108 BRB131108:BRE131108 CAX131108:CBA131108 CKT131108:CKW131108 CUP131108:CUS131108 DEL131108:DEO131108 DOH131108:DOK131108 DYD131108:DYG131108 EHZ131108:EIC131108 ERV131108:ERY131108 FBR131108:FBU131108 FLN131108:FLQ131108 FVJ131108:FVM131108 GFF131108:GFI131108 GPB131108:GPE131108 GYX131108:GZA131108 HIT131108:HIW131108 HSP131108:HSS131108 ICL131108:ICO131108 IMH131108:IMK131108 IWD131108:IWG131108 JFZ131108:JGC131108 JPV131108:JPY131108 JZR131108:JZU131108 KJN131108:KJQ131108 KTJ131108:KTM131108 LDF131108:LDI131108 LNB131108:LNE131108 LWX131108:LXA131108 MGT131108:MGW131108 MQP131108:MQS131108 NAL131108:NAO131108 NKH131108:NKK131108 NUD131108:NUG131108 ODZ131108:OEC131108 ONV131108:ONY131108 OXR131108:OXU131108 PHN131108:PHQ131108 PRJ131108:PRM131108 QBF131108:QBI131108 QLB131108:QLE131108 QUX131108:QVA131108 RET131108:REW131108 ROP131108:ROS131108 RYL131108:RYO131108 SIH131108:SIK131108 SSD131108:SSG131108 TBZ131108:TCC131108 TLV131108:TLY131108 TVR131108:TVU131108 UFN131108:UFQ131108 UPJ131108:UPM131108 UZF131108:UZI131108 VJB131108:VJE131108 VSX131108:VTA131108 WCT131108:WCW131108 WMP131108:WMS131108 WWL131108:WWO131108 AD196644:AG196644 JZ196644:KC196644 TV196644:TY196644 ADR196644:ADU196644 ANN196644:ANQ196644 AXJ196644:AXM196644 BHF196644:BHI196644 BRB196644:BRE196644 CAX196644:CBA196644 CKT196644:CKW196644 CUP196644:CUS196644 DEL196644:DEO196644 DOH196644:DOK196644 DYD196644:DYG196644 EHZ196644:EIC196644 ERV196644:ERY196644 FBR196644:FBU196644 FLN196644:FLQ196644 FVJ196644:FVM196644 GFF196644:GFI196644 GPB196644:GPE196644 GYX196644:GZA196644 HIT196644:HIW196644 HSP196644:HSS196644 ICL196644:ICO196644 IMH196644:IMK196644 IWD196644:IWG196644 JFZ196644:JGC196644 JPV196644:JPY196644 JZR196644:JZU196644 KJN196644:KJQ196644 KTJ196644:KTM196644 LDF196644:LDI196644 LNB196644:LNE196644 LWX196644:LXA196644 MGT196644:MGW196644 MQP196644:MQS196644 NAL196644:NAO196644 NKH196644:NKK196644 NUD196644:NUG196644 ODZ196644:OEC196644 ONV196644:ONY196644 OXR196644:OXU196644 PHN196644:PHQ196644 PRJ196644:PRM196644 QBF196644:QBI196644 QLB196644:QLE196644 QUX196644:QVA196644 RET196644:REW196644 ROP196644:ROS196644 RYL196644:RYO196644 SIH196644:SIK196644 SSD196644:SSG196644 TBZ196644:TCC196644 TLV196644:TLY196644 TVR196644:TVU196644 UFN196644:UFQ196644 UPJ196644:UPM196644 UZF196644:UZI196644 VJB196644:VJE196644 VSX196644:VTA196644 WCT196644:WCW196644 WMP196644:WMS196644 WWL196644:WWO196644 AD262180:AG262180 JZ262180:KC262180 TV262180:TY262180 ADR262180:ADU262180 ANN262180:ANQ262180 AXJ262180:AXM262180 BHF262180:BHI262180 BRB262180:BRE262180 CAX262180:CBA262180 CKT262180:CKW262180 CUP262180:CUS262180 DEL262180:DEO262180 DOH262180:DOK262180 DYD262180:DYG262180 EHZ262180:EIC262180 ERV262180:ERY262180 FBR262180:FBU262180 FLN262180:FLQ262180 FVJ262180:FVM262180 GFF262180:GFI262180 GPB262180:GPE262180 GYX262180:GZA262180 HIT262180:HIW262180 HSP262180:HSS262180 ICL262180:ICO262180 IMH262180:IMK262180 IWD262180:IWG262180 JFZ262180:JGC262180 JPV262180:JPY262180 JZR262180:JZU262180 KJN262180:KJQ262180 KTJ262180:KTM262180 LDF262180:LDI262180 LNB262180:LNE262180 LWX262180:LXA262180 MGT262180:MGW262180 MQP262180:MQS262180 NAL262180:NAO262180 NKH262180:NKK262180 NUD262180:NUG262180 ODZ262180:OEC262180 ONV262180:ONY262180 OXR262180:OXU262180 PHN262180:PHQ262180 PRJ262180:PRM262180 QBF262180:QBI262180 QLB262180:QLE262180 QUX262180:QVA262180 RET262180:REW262180 ROP262180:ROS262180 RYL262180:RYO262180 SIH262180:SIK262180 SSD262180:SSG262180 TBZ262180:TCC262180 TLV262180:TLY262180 TVR262180:TVU262180 UFN262180:UFQ262180 UPJ262180:UPM262180 UZF262180:UZI262180 VJB262180:VJE262180 VSX262180:VTA262180 WCT262180:WCW262180 WMP262180:WMS262180 WWL262180:WWO262180 AD327716:AG327716 JZ327716:KC327716 TV327716:TY327716 ADR327716:ADU327716 ANN327716:ANQ327716 AXJ327716:AXM327716 BHF327716:BHI327716 BRB327716:BRE327716 CAX327716:CBA327716 CKT327716:CKW327716 CUP327716:CUS327716 DEL327716:DEO327716 DOH327716:DOK327716 DYD327716:DYG327716 EHZ327716:EIC327716 ERV327716:ERY327716 FBR327716:FBU327716 FLN327716:FLQ327716 FVJ327716:FVM327716 GFF327716:GFI327716 GPB327716:GPE327716 GYX327716:GZA327716 HIT327716:HIW327716 HSP327716:HSS327716 ICL327716:ICO327716 IMH327716:IMK327716 IWD327716:IWG327716 JFZ327716:JGC327716 JPV327716:JPY327716 JZR327716:JZU327716 KJN327716:KJQ327716 KTJ327716:KTM327716 LDF327716:LDI327716 LNB327716:LNE327716 LWX327716:LXA327716 MGT327716:MGW327716 MQP327716:MQS327716 NAL327716:NAO327716 NKH327716:NKK327716 NUD327716:NUG327716 ODZ327716:OEC327716 ONV327716:ONY327716 OXR327716:OXU327716 PHN327716:PHQ327716 PRJ327716:PRM327716 QBF327716:QBI327716 QLB327716:QLE327716 QUX327716:QVA327716 RET327716:REW327716 ROP327716:ROS327716 RYL327716:RYO327716 SIH327716:SIK327716 SSD327716:SSG327716 TBZ327716:TCC327716 TLV327716:TLY327716 TVR327716:TVU327716 UFN327716:UFQ327716 UPJ327716:UPM327716 UZF327716:UZI327716 VJB327716:VJE327716 VSX327716:VTA327716 WCT327716:WCW327716 WMP327716:WMS327716 WWL327716:WWO327716 AD393252:AG393252 JZ393252:KC393252 TV393252:TY393252 ADR393252:ADU393252 ANN393252:ANQ393252 AXJ393252:AXM393252 BHF393252:BHI393252 BRB393252:BRE393252 CAX393252:CBA393252 CKT393252:CKW393252 CUP393252:CUS393252 DEL393252:DEO393252 DOH393252:DOK393252 DYD393252:DYG393252 EHZ393252:EIC393252 ERV393252:ERY393252 FBR393252:FBU393252 FLN393252:FLQ393252 FVJ393252:FVM393252 GFF393252:GFI393252 GPB393252:GPE393252 GYX393252:GZA393252 HIT393252:HIW393252 HSP393252:HSS393252 ICL393252:ICO393252 IMH393252:IMK393252 IWD393252:IWG393252 JFZ393252:JGC393252 JPV393252:JPY393252 JZR393252:JZU393252 KJN393252:KJQ393252 KTJ393252:KTM393252 LDF393252:LDI393252 LNB393252:LNE393252 LWX393252:LXA393252 MGT393252:MGW393252 MQP393252:MQS393252 NAL393252:NAO393252 NKH393252:NKK393252 NUD393252:NUG393252 ODZ393252:OEC393252 ONV393252:ONY393252 OXR393252:OXU393252 PHN393252:PHQ393252 PRJ393252:PRM393252 QBF393252:QBI393252 QLB393252:QLE393252 QUX393252:QVA393252 RET393252:REW393252 ROP393252:ROS393252 RYL393252:RYO393252 SIH393252:SIK393252 SSD393252:SSG393252 TBZ393252:TCC393252 TLV393252:TLY393252 TVR393252:TVU393252 UFN393252:UFQ393252 UPJ393252:UPM393252 UZF393252:UZI393252 VJB393252:VJE393252 VSX393252:VTA393252 WCT393252:WCW393252 WMP393252:WMS393252 WWL393252:WWO393252 AD458788:AG458788 JZ458788:KC458788 TV458788:TY458788 ADR458788:ADU458788 ANN458788:ANQ458788 AXJ458788:AXM458788 BHF458788:BHI458788 BRB458788:BRE458788 CAX458788:CBA458788 CKT458788:CKW458788 CUP458788:CUS458788 DEL458788:DEO458788 DOH458788:DOK458788 DYD458788:DYG458788 EHZ458788:EIC458788 ERV458788:ERY458788 FBR458788:FBU458788 FLN458788:FLQ458788 FVJ458788:FVM458788 GFF458788:GFI458788 GPB458788:GPE458788 GYX458788:GZA458788 HIT458788:HIW458788 HSP458788:HSS458788 ICL458788:ICO458788 IMH458788:IMK458788 IWD458788:IWG458788 JFZ458788:JGC458788 JPV458788:JPY458788 JZR458788:JZU458788 KJN458788:KJQ458788 KTJ458788:KTM458788 LDF458788:LDI458788 LNB458788:LNE458788 LWX458788:LXA458788 MGT458788:MGW458788 MQP458788:MQS458788 NAL458788:NAO458788 NKH458788:NKK458788 NUD458788:NUG458788 ODZ458788:OEC458788 ONV458788:ONY458788 OXR458788:OXU458788 PHN458788:PHQ458788 PRJ458788:PRM458788 QBF458788:QBI458788 QLB458788:QLE458788 QUX458788:QVA458788 RET458788:REW458788 ROP458788:ROS458788 RYL458788:RYO458788 SIH458788:SIK458788 SSD458788:SSG458788 TBZ458788:TCC458788 TLV458788:TLY458788 TVR458788:TVU458788 UFN458788:UFQ458788 UPJ458788:UPM458788 UZF458788:UZI458788 VJB458788:VJE458788 VSX458788:VTA458788 WCT458788:WCW458788 WMP458788:WMS458788 WWL458788:WWO458788 AD524324:AG524324 JZ524324:KC524324 TV524324:TY524324 ADR524324:ADU524324 ANN524324:ANQ524324 AXJ524324:AXM524324 BHF524324:BHI524324 BRB524324:BRE524324 CAX524324:CBA524324 CKT524324:CKW524324 CUP524324:CUS524324 DEL524324:DEO524324 DOH524324:DOK524324 DYD524324:DYG524324 EHZ524324:EIC524324 ERV524324:ERY524324 FBR524324:FBU524324 FLN524324:FLQ524324 FVJ524324:FVM524324 GFF524324:GFI524324 GPB524324:GPE524324 GYX524324:GZA524324 HIT524324:HIW524324 HSP524324:HSS524324 ICL524324:ICO524324 IMH524324:IMK524324 IWD524324:IWG524324 JFZ524324:JGC524324 JPV524324:JPY524324 JZR524324:JZU524324 KJN524324:KJQ524324 KTJ524324:KTM524324 LDF524324:LDI524324 LNB524324:LNE524324 LWX524324:LXA524324 MGT524324:MGW524324 MQP524324:MQS524324 NAL524324:NAO524324 NKH524324:NKK524324 NUD524324:NUG524324 ODZ524324:OEC524324 ONV524324:ONY524324 OXR524324:OXU524324 PHN524324:PHQ524324 PRJ524324:PRM524324 QBF524324:QBI524324 QLB524324:QLE524324 QUX524324:QVA524324 RET524324:REW524324 ROP524324:ROS524324 RYL524324:RYO524324 SIH524324:SIK524324 SSD524324:SSG524324 TBZ524324:TCC524324 TLV524324:TLY524324 TVR524324:TVU524324 UFN524324:UFQ524324 UPJ524324:UPM524324 UZF524324:UZI524324 VJB524324:VJE524324 VSX524324:VTA524324 WCT524324:WCW524324 WMP524324:WMS524324 WWL524324:WWO524324 AD589860:AG589860 JZ589860:KC589860 TV589860:TY589860 ADR589860:ADU589860 ANN589860:ANQ589860 AXJ589860:AXM589860 BHF589860:BHI589860 BRB589860:BRE589860 CAX589860:CBA589860 CKT589860:CKW589860 CUP589860:CUS589860 DEL589860:DEO589860 DOH589860:DOK589860 DYD589860:DYG589860 EHZ589860:EIC589860 ERV589860:ERY589860 FBR589860:FBU589860 FLN589860:FLQ589860 FVJ589860:FVM589860 GFF589860:GFI589860 GPB589860:GPE589860 GYX589860:GZA589860 HIT589860:HIW589860 HSP589860:HSS589860 ICL589860:ICO589860 IMH589860:IMK589860 IWD589860:IWG589860 JFZ589860:JGC589860 JPV589860:JPY589860 JZR589860:JZU589860 KJN589860:KJQ589860 KTJ589860:KTM589860 LDF589860:LDI589860 LNB589860:LNE589860 LWX589860:LXA589860 MGT589860:MGW589860 MQP589860:MQS589860 NAL589860:NAO589860 NKH589860:NKK589860 NUD589860:NUG589860 ODZ589860:OEC589860 ONV589860:ONY589860 OXR589860:OXU589860 PHN589860:PHQ589860 PRJ589860:PRM589860 QBF589860:QBI589860 QLB589860:QLE589860 QUX589860:QVA589860 RET589860:REW589860 ROP589860:ROS589860 RYL589860:RYO589860 SIH589860:SIK589860 SSD589860:SSG589860 TBZ589860:TCC589860 TLV589860:TLY589860 TVR589860:TVU589860 UFN589860:UFQ589860 UPJ589860:UPM589860 UZF589860:UZI589860 VJB589860:VJE589860 VSX589860:VTA589860 WCT589860:WCW589860 WMP589860:WMS589860 WWL589860:WWO589860 AD655396:AG655396 JZ655396:KC655396 TV655396:TY655396 ADR655396:ADU655396 ANN655396:ANQ655396 AXJ655396:AXM655396 BHF655396:BHI655396 BRB655396:BRE655396 CAX655396:CBA655396 CKT655396:CKW655396 CUP655396:CUS655396 DEL655396:DEO655396 DOH655396:DOK655396 DYD655396:DYG655396 EHZ655396:EIC655396 ERV655396:ERY655396 FBR655396:FBU655396 FLN655396:FLQ655396 FVJ655396:FVM655396 GFF655396:GFI655396 GPB655396:GPE655396 GYX655396:GZA655396 HIT655396:HIW655396 HSP655396:HSS655396 ICL655396:ICO655396 IMH655396:IMK655396 IWD655396:IWG655396 JFZ655396:JGC655396 JPV655396:JPY655396 JZR655396:JZU655396 KJN655396:KJQ655396 KTJ655396:KTM655396 LDF655396:LDI655396 LNB655396:LNE655396 LWX655396:LXA655396 MGT655396:MGW655396 MQP655396:MQS655396 NAL655396:NAO655396 NKH655396:NKK655396 NUD655396:NUG655396 ODZ655396:OEC655396 ONV655396:ONY655396 OXR655396:OXU655396 PHN655396:PHQ655396 PRJ655396:PRM655396 QBF655396:QBI655396 QLB655396:QLE655396 QUX655396:QVA655396 RET655396:REW655396 ROP655396:ROS655396 RYL655396:RYO655396 SIH655396:SIK655396 SSD655396:SSG655396 TBZ655396:TCC655396 TLV655396:TLY655396 TVR655396:TVU655396 UFN655396:UFQ655396 UPJ655396:UPM655396 UZF655396:UZI655396 VJB655396:VJE655396 VSX655396:VTA655396 WCT655396:WCW655396 WMP655396:WMS655396 WWL655396:WWO655396 AD720932:AG720932 JZ720932:KC720932 TV720932:TY720932 ADR720932:ADU720932 ANN720932:ANQ720932 AXJ720932:AXM720932 BHF720932:BHI720932 BRB720932:BRE720932 CAX720932:CBA720932 CKT720932:CKW720932 CUP720932:CUS720932 DEL720932:DEO720932 DOH720932:DOK720932 DYD720932:DYG720932 EHZ720932:EIC720932 ERV720932:ERY720932 FBR720932:FBU720932 FLN720932:FLQ720932 FVJ720932:FVM720932 GFF720932:GFI720932 GPB720932:GPE720932 GYX720932:GZA720932 HIT720932:HIW720932 HSP720932:HSS720932 ICL720932:ICO720932 IMH720932:IMK720932 IWD720932:IWG720932 JFZ720932:JGC720932 JPV720932:JPY720932 JZR720932:JZU720932 KJN720932:KJQ720932 KTJ720932:KTM720932 LDF720932:LDI720932 LNB720932:LNE720932 LWX720932:LXA720932 MGT720932:MGW720932 MQP720932:MQS720932 NAL720932:NAO720932 NKH720932:NKK720932 NUD720932:NUG720932 ODZ720932:OEC720932 ONV720932:ONY720932 OXR720932:OXU720932 PHN720932:PHQ720932 PRJ720932:PRM720932 QBF720932:QBI720932 QLB720932:QLE720932 QUX720932:QVA720932 RET720932:REW720932 ROP720932:ROS720932 RYL720932:RYO720932 SIH720932:SIK720932 SSD720932:SSG720932 TBZ720932:TCC720932 TLV720932:TLY720932 TVR720932:TVU720932 UFN720932:UFQ720932 UPJ720932:UPM720932 UZF720932:UZI720932 VJB720932:VJE720932 VSX720932:VTA720932 WCT720932:WCW720932 WMP720932:WMS720932 WWL720932:WWO720932 AD786468:AG786468 JZ786468:KC786468 TV786468:TY786468 ADR786468:ADU786468 ANN786468:ANQ786468 AXJ786468:AXM786468 BHF786468:BHI786468 BRB786468:BRE786468 CAX786468:CBA786468 CKT786468:CKW786468 CUP786468:CUS786468 DEL786468:DEO786468 DOH786468:DOK786468 DYD786468:DYG786468 EHZ786468:EIC786468 ERV786468:ERY786468 FBR786468:FBU786468 FLN786468:FLQ786468 FVJ786468:FVM786468 GFF786468:GFI786468 GPB786468:GPE786468 GYX786468:GZA786468 HIT786468:HIW786468 HSP786468:HSS786468 ICL786468:ICO786468 IMH786468:IMK786468 IWD786468:IWG786468 JFZ786468:JGC786468 JPV786468:JPY786468 JZR786468:JZU786468 KJN786468:KJQ786468 KTJ786468:KTM786468 LDF786468:LDI786468 LNB786468:LNE786468 LWX786468:LXA786468 MGT786468:MGW786468 MQP786468:MQS786468 NAL786468:NAO786468 NKH786468:NKK786468 NUD786468:NUG786468 ODZ786468:OEC786468 ONV786468:ONY786468 OXR786468:OXU786468 PHN786468:PHQ786468 PRJ786468:PRM786468 QBF786468:QBI786468 QLB786468:QLE786468 QUX786468:QVA786468 RET786468:REW786468 ROP786468:ROS786468 RYL786468:RYO786468 SIH786468:SIK786468 SSD786468:SSG786468 TBZ786468:TCC786468 TLV786468:TLY786468 TVR786468:TVU786468 UFN786468:UFQ786468 UPJ786468:UPM786468 UZF786468:UZI786468 VJB786468:VJE786468 VSX786468:VTA786468 WCT786468:WCW786468 WMP786468:WMS786468 WWL786468:WWO786468 AD852004:AG852004 JZ852004:KC852004 TV852004:TY852004 ADR852004:ADU852004 ANN852004:ANQ852004 AXJ852004:AXM852004 BHF852004:BHI852004 BRB852004:BRE852004 CAX852004:CBA852004 CKT852004:CKW852004 CUP852004:CUS852004 DEL852004:DEO852004 DOH852004:DOK852004 DYD852004:DYG852004 EHZ852004:EIC852004 ERV852004:ERY852004 FBR852004:FBU852004 FLN852004:FLQ852004 FVJ852004:FVM852004 GFF852004:GFI852004 GPB852004:GPE852004 GYX852004:GZA852004 HIT852004:HIW852004 HSP852004:HSS852004 ICL852004:ICO852004 IMH852004:IMK852004 IWD852004:IWG852004 JFZ852004:JGC852004 JPV852004:JPY852004 JZR852004:JZU852004 KJN852004:KJQ852004 KTJ852004:KTM852004 LDF852004:LDI852004 LNB852004:LNE852004 LWX852004:LXA852004 MGT852004:MGW852004 MQP852004:MQS852004 NAL852004:NAO852004 NKH852004:NKK852004 NUD852004:NUG852004 ODZ852004:OEC852004 ONV852004:ONY852004 OXR852004:OXU852004 PHN852004:PHQ852004 PRJ852004:PRM852004 QBF852004:QBI852004 QLB852004:QLE852004 QUX852004:QVA852004 RET852004:REW852004 ROP852004:ROS852004 RYL852004:RYO852004 SIH852004:SIK852004 SSD852004:SSG852004 TBZ852004:TCC852004 TLV852004:TLY852004 TVR852004:TVU852004 UFN852004:UFQ852004 UPJ852004:UPM852004 UZF852004:UZI852004 VJB852004:VJE852004 VSX852004:VTA852004 WCT852004:WCW852004 WMP852004:WMS852004 WWL852004:WWO852004 AD917540:AG917540 JZ917540:KC917540 TV917540:TY917540 ADR917540:ADU917540 ANN917540:ANQ917540 AXJ917540:AXM917540 BHF917540:BHI917540 BRB917540:BRE917540 CAX917540:CBA917540 CKT917540:CKW917540 CUP917540:CUS917540 DEL917540:DEO917540 DOH917540:DOK917540 DYD917540:DYG917540 EHZ917540:EIC917540 ERV917540:ERY917540 FBR917540:FBU917540 FLN917540:FLQ917540 FVJ917540:FVM917540 GFF917540:GFI917540 GPB917540:GPE917540 GYX917540:GZA917540 HIT917540:HIW917540 HSP917540:HSS917540 ICL917540:ICO917540 IMH917540:IMK917540 IWD917540:IWG917540 JFZ917540:JGC917540 JPV917540:JPY917540 JZR917540:JZU917540 KJN917540:KJQ917540 KTJ917540:KTM917540 LDF917540:LDI917540 LNB917540:LNE917540 LWX917540:LXA917540 MGT917540:MGW917540 MQP917540:MQS917540 NAL917540:NAO917540 NKH917540:NKK917540 NUD917540:NUG917540 ODZ917540:OEC917540 ONV917540:ONY917540 OXR917540:OXU917540 PHN917540:PHQ917540 PRJ917540:PRM917540 QBF917540:QBI917540 QLB917540:QLE917540 QUX917540:QVA917540 RET917540:REW917540 ROP917540:ROS917540 RYL917540:RYO917540 SIH917540:SIK917540 SSD917540:SSG917540 TBZ917540:TCC917540 TLV917540:TLY917540 TVR917540:TVU917540 UFN917540:UFQ917540 UPJ917540:UPM917540 UZF917540:UZI917540 VJB917540:VJE917540 VSX917540:VTA917540 WCT917540:WCW917540 WMP917540:WMS917540 WWL917540:WWO917540 AD983076:AG983076 JZ983076:KC983076 TV983076:TY983076 ADR983076:ADU983076 ANN983076:ANQ983076 AXJ983076:AXM983076 BHF983076:BHI983076 BRB983076:BRE983076 CAX983076:CBA983076 CKT983076:CKW983076 CUP983076:CUS983076 DEL983076:DEO983076 DOH983076:DOK983076 DYD983076:DYG983076 EHZ983076:EIC983076 ERV983076:ERY983076 FBR983076:FBU983076 FLN983076:FLQ983076 FVJ983076:FVM983076 GFF983076:GFI983076 GPB983076:GPE983076 GYX983076:GZA983076 HIT983076:HIW983076 HSP983076:HSS983076 ICL983076:ICO983076 IMH983076:IMK983076 IWD983076:IWG983076 JFZ983076:JGC983076 JPV983076:JPY983076 JZR983076:JZU983076 KJN983076:KJQ983076 KTJ983076:KTM983076 LDF983076:LDI983076 LNB983076:LNE983076 LWX983076:LXA983076 MGT983076:MGW983076 MQP983076:MQS983076 NAL983076:NAO983076 NKH983076:NKK983076 NUD983076:NUG983076 ODZ983076:OEC983076 ONV983076:ONY983076 OXR983076:OXU983076 PHN983076:PHQ983076 PRJ983076:PRM983076 QBF983076:QBI983076 QLB983076:QLE983076 QUX983076:QVA983076 RET983076:REW983076 ROP983076:ROS983076 RYL983076:RYO983076 SIH983076:SIK983076 SSD983076:SSG983076 TBZ983076:TCC983076 TLV983076:TLY983076 TVR983076:TVU983076 UFN983076:UFQ983076 UPJ983076:UPM983076 UZF983076:UZI983076 VJB983076:VJE983076 VSX983076:VTA983076 WCT983076:WCW983076 WMP983076:WMS983076 WWL983076:WWO983076 WVT983065:WWF983065 JH25:JT25 TD25:TP25 ACZ25:ADL25 AMV25:ANH25 AWR25:AXD25 BGN25:BGZ25 BQJ25:BQV25 CAF25:CAR25 CKB25:CKN25 CTX25:CUJ25 DDT25:DEF25 DNP25:DOB25 DXL25:DXX25 EHH25:EHT25 ERD25:ERP25 FAZ25:FBL25 FKV25:FLH25 FUR25:FVD25 GEN25:GEZ25 GOJ25:GOV25 GYF25:GYR25 HIB25:HIN25 HRX25:HSJ25 IBT25:ICF25 ILP25:IMB25 IVL25:IVX25 JFH25:JFT25 JPD25:JPP25 JYZ25:JZL25 KIV25:KJH25 KSR25:KTD25 LCN25:LCZ25 LMJ25:LMV25 LWF25:LWR25 MGB25:MGN25 MPX25:MQJ25 MZT25:NAF25 NJP25:NKB25 NTL25:NTX25 ODH25:ODT25 OND25:ONP25 OWZ25:OXL25 PGV25:PHH25 PQR25:PRD25 QAN25:QAZ25 QKJ25:QKV25 QUF25:QUR25 REB25:REN25 RNX25:ROJ25 RXT25:RYF25 SHP25:SIB25 SRL25:SRX25 TBH25:TBT25 TLD25:TLP25 TUZ25:TVL25 UEV25:UFH25 UOR25:UPD25 UYN25:UYZ25 VIJ25:VIV25 VSF25:VSR25 WCB25:WCN25 WLX25:WMJ25 WVT25:WWF25 L65561:X65561 JH65561:JT65561 TD65561:TP65561 ACZ65561:ADL65561 AMV65561:ANH65561 AWR65561:AXD65561 BGN65561:BGZ65561 BQJ65561:BQV65561 CAF65561:CAR65561 CKB65561:CKN65561 CTX65561:CUJ65561 DDT65561:DEF65561 DNP65561:DOB65561 DXL65561:DXX65561 EHH65561:EHT65561 ERD65561:ERP65561 FAZ65561:FBL65561 FKV65561:FLH65561 FUR65561:FVD65561 GEN65561:GEZ65561 GOJ65561:GOV65561 GYF65561:GYR65561 HIB65561:HIN65561 HRX65561:HSJ65561 IBT65561:ICF65561 ILP65561:IMB65561 IVL65561:IVX65561 JFH65561:JFT65561 JPD65561:JPP65561 JYZ65561:JZL65561 KIV65561:KJH65561 KSR65561:KTD65561 LCN65561:LCZ65561 LMJ65561:LMV65561 LWF65561:LWR65561 MGB65561:MGN65561 MPX65561:MQJ65561 MZT65561:NAF65561 NJP65561:NKB65561 NTL65561:NTX65561 ODH65561:ODT65561 OND65561:ONP65561 OWZ65561:OXL65561 PGV65561:PHH65561 PQR65561:PRD65561 QAN65561:QAZ65561 QKJ65561:QKV65561 QUF65561:QUR65561 REB65561:REN65561 RNX65561:ROJ65561 RXT65561:RYF65561 SHP65561:SIB65561 SRL65561:SRX65561 TBH65561:TBT65561 TLD65561:TLP65561 TUZ65561:TVL65561 UEV65561:UFH65561 UOR65561:UPD65561 UYN65561:UYZ65561 VIJ65561:VIV65561 VSF65561:VSR65561 WCB65561:WCN65561 WLX65561:WMJ65561 WVT65561:WWF65561 L131097:X131097 JH131097:JT131097 TD131097:TP131097 ACZ131097:ADL131097 AMV131097:ANH131097 AWR131097:AXD131097 BGN131097:BGZ131097 BQJ131097:BQV131097 CAF131097:CAR131097 CKB131097:CKN131097 CTX131097:CUJ131097 DDT131097:DEF131097 DNP131097:DOB131097 DXL131097:DXX131097 EHH131097:EHT131097 ERD131097:ERP131097 FAZ131097:FBL131097 FKV131097:FLH131097 FUR131097:FVD131097 GEN131097:GEZ131097 GOJ131097:GOV131097 GYF131097:GYR131097 HIB131097:HIN131097 HRX131097:HSJ131097 IBT131097:ICF131097 ILP131097:IMB131097 IVL131097:IVX131097 JFH131097:JFT131097 JPD131097:JPP131097 JYZ131097:JZL131097 KIV131097:KJH131097 KSR131097:KTD131097 LCN131097:LCZ131097 LMJ131097:LMV131097 LWF131097:LWR131097 MGB131097:MGN131097 MPX131097:MQJ131097 MZT131097:NAF131097 NJP131097:NKB131097 NTL131097:NTX131097 ODH131097:ODT131097 OND131097:ONP131097 OWZ131097:OXL131097 PGV131097:PHH131097 PQR131097:PRD131097 QAN131097:QAZ131097 QKJ131097:QKV131097 QUF131097:QUR131097 REB131097:REN131097 RNX131097:ROJ131097 RXT131097:RYF131097 SHP131097:SIB131097 SRL131097:SRX131097 TBH131097:TBT131097 TLD131097:TLP131097 TUZ131097:TVL131097 UEV131097:UFH131097 UOR131097:UPD131097 UYN131097:UYZ131097 VIJ131097:VIV131097 VSF131097:VSR131097 WCB131097:WCN131097 WLX131097:WMJ131097 WVT131097:WWF131097 L196633:X196633 JH196633:JT196633 TD196633:TP196633 ACZ196633:ADL196633 AMV196633:ANH196633 AWR196633:AXD196633 BGN196633:BGZ196633 BQJ196633:BQV196633 CAF196633:CAR196633 CKB196633:CKN196633 CTX196633:CUJ196633 DDT196633:DEF196633 DNP196633:DOB196633 DXL196633:DXX196633 EHH196633:EHT196633 ERD196633:ERP196633 FAZ196633:FBL196633 FKV196633:FLH196633 FUR196633:FVD196633 GEN196633:GEZ196633 GOJ196633:GOV196633 GYF196633:GYR196633 HIB196633:HIN196633 HRX196633:HSJ196633 IBT196633:ICF196633 ILP196633:IMB196633 IVL196633:IVX196633 JFH196633:JFT196633 JPD196633:JPP196633 JYZ196633:JZL196633 KIV196633:KJH196633 KSR196633:KTD196633 LCN196633:LCZ196633 LMJ196633:LMV196633 LWF196633:LWR196633 MGB196633:MGN196633 MPX196633:MQJ196633 MZT196633:NAF196633 NJP196633:NKB196633 NTL196633:NTX196633 ODH196633:ODT196633 OND196633:ONP196633 OWZ196633:OXL196633 PGV196633:PHH196633 PQR196633:PRD196633 QAN196633:QAZ196633 QKJ196633:QKV196633 QUF196633:QUR196633 REB196633:REN196633 RNX196633:ROJ196633 RXT196633:RYF196633 SHP196633:SIB196633 SRL196633:SRX196633 TBH196633:TBT196633 TLD196633:TLP196633 TUZ196633:TVL196633 UEV196633:UFH196633 UOR196633:UPD196633 UYN196633:UYZ196633 VIJ196633:VIV196633 VSF196633:VSR196633 WCB196633:WCN196633 WLX196633:WMJ196633 WVT196633:WWF196633 L262169:X262169 JH262169:JT262169 TD262169:TP262169 ACZ262169:ADL262169 AMV262169:ANH262169 AWR262169:AXD262169 BGN262169:BGZ262169 BQJ262169:BQV262169 CAF262169:CAR262169 CKB262169:CKN262169 CTX262169:CUJ262169 DDT262169:DEF262169 DNP262169:DOB262169 DXL262169:DXX262169 EHH262169:EHT262169 ERD262169:ERP262169 FAZ262169:FBL262169 FKV262169:FLH262169 FUR262169:FVD262169 GEN262169:GEZ262169 GOJ262169:GOV262169 GYF262169:GYR262169 HIB262169:HIN262169 HRX262169:HSJ262169 IBT262169:ICF262169 ILP262169:IMB262169 IVL262169:IVX262169 JFH262169:JFT262169 JPD262169:JPP262169 JYZ262169:JZL262169 KIV262169:KJH262169 KSR262169:KTD262169 LCN262169:LCZ262169 LMJ262169:LMV262169 LWF262169:LWR262169 MGB262169:MGN262169 MPX262169:MQJ262169 MZT262169:NAF262169 NJP262169:NKB262169 NTL262169:NTX262169 ODH262169:ODT262169 OND262169:ONP262169 OWZ262169:OXL262169 PGV262169:PHH262169 PQR262169:PRD262169 QAN262169:QAZ262169 QKJ262169:QKV262169 QUF262169:QUR262169 REB262169:REN262169 RNX262169:ROJ262169 RXT262169:RYF262169 SHP262169:SIB262169 SRL262169:SRX262169 TBH262169:TBT262169 TLD262169:TLP262169 TUZ262169:TVL262169 UEV262169:UFH262169 UOR262169:UPD262169 UYN262169:UYZ262169 VIJ262169:VIV262169 VSF262169:VSR262169 WCB262169:WCN262169 WLX262169:WMJ262169 WVT262169:WWF262169 L327705:X327705 JH327705:JT327705 TD327705:TP327705 ACZ327705:ADL327705 AMV327705:ANH327705 AWR327705:AXD327705 BGN327705:BGZ327705 BQJ327705:BQV327705 CAF327705:CAR327705 CKB327705:CKN327705 CTX327705:CUJ327705 DDT327705:DEF327705 DNP327705:DOB327705 DXL327705:DXX327705 EHH327705:EHT327705 ERD327705:ERP327705 FAZ327705:FBL327705 FKV327705:FLH327705 FUR327705:FVD327705 GEN327705:GEZ327705 GOJ327705:GOV327705 GYF327705:GYR327705 HIB327705:HIN327705 HRX327705:HSJ327705 IBT327705:ICF327705 ILP327705:IMB327705 IVL327705:IVX327705 JFH327705:JFT327705 JPD327705:JPP327705 JYZ327705:JZL327705 KIV327705:KJH327705 KSR327705:KTD327705 LCN327705:LCZ327705 LMJ327705:LMV327705 LWF327705:LWR327705 MGB327705:MGN327705 MPX327705:MQJ327705 MZT327705:NAF327705 NJP327705:NKB327705 NTL327705:NTX327705 ODH327705:ODT327705 OND327705:ONP327705 OWZ327705:OXL327705 PGV327705:PHH327705 PQR327705:PRD327705 QAN327705:QAZ327705 QKJ327705:QKV327705 QUF327705:QUR327705 REB327705:REN327705 RNX327705:ROJ327705 RXT327705:RYF327705 SHP327705:SIB327705 SRL327705:SRX327705 TBH327705:TBT327705 TLD327705:TLP327705 TUZ327705:TVL327705 UEV327705:UFH327705 UOR327705:UPD327705 UYN327705:UYZ327705 VIJ327705:VIV327705 VSF327705:VSR327705 WCB327705:WCN327705 WLX327705:WMJ327705 WVT327705:WWF327705 L393241:X393241 JH393241:JT393241 TD393241:TP393241 ACZ393241:ADL393241 AMV393241:ANH393241 AWR393241:AXD393241 BGN393241:BGZ393241 BQJ393241:BQV393241 CAF393241:CAR393241 CKB393241:CKN393241 CTX393241:CUJ393241 DDT393241:DEF393241 DNP393241:DOB393241 DXL393241:DXX393241 EHH393241:EHT393241 ERD393241:ERP393241 FAZ393241:FBL393241 FKV393241:FLH393241 FUR393241:FVD393241 GEN393241:GEZ393241 GOJ393241:GOV393241 GYF393241:GYR393241 HIB393241:HIN393241 HRX393241:HSJ393241 IBT393241:ICF393241 ILP393241:IMB393241 IVL393241:IVX393241 JFH393241:JFT393241 JPD393241:JPP393241 JYZ393241:JZL393241 KIV393241:KJH393241 KSR393241:KTD393241 LCN393241:LCZ393241 LMJ393241:LMV393241 LWF393241:LWR393241 MGB393241:MGN393241 MPX393241:MQJ393241 MZT393241:NAF393241 NJP393241:NKB393241 NTL393241:NTX393241 ODH393241:ODT393241 OND393241:ONP393241 OWZ393241:OXL393241 PGV393241:PHH393241 PQR393241:PRD393241 QAN393241:QAZ393241 QKJ393241:QKV393241 QUF393241:QUR393241 REB393241:REN393241 RNX393241:ROJ393241 RXT393241:RYF393241 SHP393241:SIB393241 SRL393241:SRX393241 TBH393241:TBT393241 TLD393241:TLP393241 TUZ393241:TVL393241 UEV393241:UFH393241 UOR393241:UPD393241 UYN393241:UYZ393241 VIJ393241:VIV393241 VSF393241:VSR393241 WCB393241:WCN393241 WLX393241:WMJ393241 WVT393241:WWF393241 L458777:X458777 JH458777:JT458777 TD458777:TP458777 ACZ458777:ADL458777 AMV458777:ANH458777 AWR458777:AXD458777 BGN458777:BGZ458777 BQJ458777:BQV458777 CAF458777:CAR458777 CKB458777:CKN458777 CTX458777:CUJ458777 DDT458777:DEF458777 DNP458777:DOB458777 DXL458777:DXX458777 EHH458777:EHT458777 ERD458777:ERP458777 FAZ458777:FBL458777 FKV458777:FLH458777 FUR458777:FVD458777 GEN458777:GEZ458777 GOJ458777:GOV458777 GYF458777:GYR458777 HIB458777:HIN458777 HRX458777:HSJ458777 IBT458777:ICF458777 ILP458777:IMB458777 IVL458777:IVX458777 JFH458777:JFT458777 JPD458777:JPP458777 JYZ458777:JZL458777 KIV458777:KJH458777 KSR458777:KTD458777 LCN458777:LCZ458777 LMJ458777:LMV458777 LWF458777:LWR458777 MGB458777:MGN458777 MPX458777:MQJ458777 MZT458777:NAF458777 NJP458777:NKB458777 NTL458777:NTX458777 ODH458777:ODT458777 OND458777:ONP458777 OWZ458777:OXL458777 PGV458777:PHH458777 PQR458777:PRD458777 QAN458777:QAZ458777 QKJ458777:QKV458777 QUF458777:QUR458777 REB458777:REN458777 RNX458777:ROJ458777 RXT458777:RYF458777 SHP458777:SIB458777 SRL458777:SRX458777 TBH458777:TBT458777 TLD458777:TLP458777 TUZ458777:TVL458777 UEV458777:UFH458777 UOR458777:UPD458777 UYN458777:UYZ458777 VIJ458777:VIV458777 VSF458777:VSR458777 WCB458777:WCN458777 WLX458777:WMJ458777 WVT458777:WWF458777 L524313:X524313 JH524313:JT524313 TD524313:TP524313 ACZ524313:ADL524313 AMV524313:ANH524313 AWR524313:AXD524313 BGN524313:BGZ524313 BQJ524313:BQV524313 CAF524313:CAR524313 CKB524313:CKN524313 CTX524313:CUJ524313 DDT524313:DEF524313 DNP524313:DOB524313 DXL524313:DXX524313 EHH524313:EHT524313 ERD524313:ERP524313 FAZ524313:FBL524313 FKV524313:FLH524313 FUR524313:FVD524313 GEN524313:GEZ524313 GOJ524313:GOV524313 GYF524313:GYR524313 HIB524313:HIN524313 HRX524313:HSJ524313 IBT524313:ICF524313 ILP524313:IMB524313 IVL524313:IVX524313 JFH524313:JFT524313 JPD524313:JPP524313 JYZ524313:JZL524313 KIV524313:KJH524313 KSR524313:KTD524313 LCN524313:LCZ524313 LMJ524313:LMV524313 LWF524313:LWR524313 MGB524313:MGN524313 MPX524313:MQJ524313 MZT524313:NAF524313 NJP524313:NKB524313 NTL524313:NTX524313 ODH524313:ODT524313 OND524313:ONP524313 OWZ524313:OXL524313 PGV524313:PHH524313 PQR524313:PRD524313 QAN524313:QAZ524313 QKJ524313:QKV524313 QUF524313:QUR524313 REB524313:REN524313 RNX524313:ROJ524313 RXT524313:RYF524313 SHP524313:SIB524313 SRL524313:SRX524313 TBH524313:TBT524313 TLD524313:TLP524313 TUZ524313:TVL524313 UEV524313:UFH524313 UOR524313:UPD524313 UYN524313:UYZ524313 VIJ524313:VIV524313 VSF524313:VSR524313 WCB524313:WCN524313 WLX524313:WMJ524313 WVT524313:WWF524313 L589849:X589849 JH589849:JT589849 TD589849:TP589849 ACZ589849:ADL589849 AMV589849:ANH589849 AWR589849:AXD589849 BGN589849:BGZ589849 BQJ589849:BQV589849 CAF589849:CAR589849 CKB589849:CKN589849 CTX589849:CUJ589849 DDT589849:DEF589849 DNP589849:DOB589849 DXL589849:DXX589849 EHH589849:EHT589849 ERD589849:ERP589849 FAZ589849:FBL589849 FKV589849:FLH589849 FUR589849:FVD589849 GEN589849:GEZ589849 GOJ589849:GOV589849 GYF589849:GYR589849 HIB589849:HIN589849 HRX589849:HSJ589849 IBT589849:ICF589849 ILP589849:IMB589849 IVL589849:IVX589849 JFH589849:JFT589849 JPD589849:JPP589849 JYZ589849:JZL589849 KIV589849:KJH589849 KSR589849:KTD589849 LCN589849:LCZ589849 LMJ589849:LMV589849 LWF589849:LWR589849 MGB589849:MGN589849 MPX589849:MQJ589849 MZT589849:NAF589849 NJP589849:NKB589849 NTL589849:NTX589849 ODH589849:ODT589849 OND589849:ONP589849 OWZ589849:OXL589849 PGV589849:PHH589849 PQR589849:PRD589849 QAN589849:QAZ589849 QKJ589849:QKV589849 QUF589849:QUR589849 REB589849:REN589849 RNX589849:ROJ589849 RXT589849:RYF589849 SHP589849:SIB589849 SRL589849:SRX589849 TBH589849:TBT589849 TLD589849:TLP589849 TUZ589849:TVL589849 UEV589849:UFH589849 UOR589849:UPD589849 UYN589849:UYZ589849 VIJ589849:VIV589849 VSF589849:VSR589849 WCB589849:WCN589849 WLX589849:WMJ589849 WVT589849:WWF589849 L655385:X655385 JH655385:JT655385 TD655385:TP655385 ACZ655385:ADL655385 AMV655385:ANH655385 AWR655385:AXD655385 BGN655385:BGZ655385 BQJ655385:BQV655385 CAF655385:CAR655385 CKB655385:CKN655385 CTX655385:CUJ655385 DDT655385:DEF655385 DNP655385:DOB655385 DXL655385:DXX655385 EHH655385:EHT655385 ERD655385:ERP655385 FAZ655385:FBL655385 FKV655385:FLH655385 FUR655385:FVD655385 GEN655385:GEZ655385 GOJ655385:GOV655385 GYF655385:GYR655385 HIB655385:HIN655385 HRX655385:HSJ655385 IBT655385:ICF655385 ILP655385:IMB655385 IVL655385:IVX655385 JFH655385:JFT655385 JPD655385:JPP655385 JYZ655385:JZL655385 KIV655385:KJH655385 KSR655385:KTD655385 LCN655385:LCZ655385 LMJ655385:LMV655385 LWF655385:LWR655385 MGB655385:MGN655385 MPX655385:MQJ655385 MZT655385:NAF655385 NJP655385:NKB655385 NTL655385:NTX655385 ODH655385:ODT655385 OND655385:ONP655385 OWZ655385:OXL655385 PGV655385:PHH655385 PQR655385:PRD655385 QAN655385:QAZ655385 QKJ655385:QKV655385 QUF655385:QUR655385 REB655385:REN655385 RNX655385:ROJ655385 RXT655385:RYF655385 SHP655385:SIB655385 SRL655385:SRX655385 TBH655385:TBT655385 TLD655385:TLP655385 TUZ655385:TVL655385 UEV655385:UFH655385 UOR655385:UPD655385 UYN655385:UYZ655385 VIJ655385:VIV655385 VSF655385:VSR655385 WCB655385:WCN655385 WLX655385:WMJ655385 WVT655385:WWF655385 L720921:X720921 JH720921:JT720921 TD720921:TP720921 ACZ720921:ADL720921 AMV720921:ANH720921 AWR720921:AXD720921 BGN720921:BGZ720921 BQJ720921:BQV720921 CAF720921:CAR720921 CKB720921:CKN720921 CTX720921:CUJ720921 DDT720921:DEF720921 DNP720921:DOB720921 DXL720921:DXX720921 EHH720921:EHT720921 ERD720921:ERP720921 FAZ720921:FBL720921 FKV720921:FLH720921 FUR720921:FVD720921 GEN720921:GEZ720921 GOJ720921:GOV720921 GYF720921:GYR720921 HIB720921:HIN720921 HRX720921:HSJ720921 IBT720921:ICF720921 ILP720921:IMB720921 IVL720921:IVX720921 JFH720921:JFT720921 JPD720921:JPP720921 JYZ720921:JZL720921 KIV720921:KJH720921 KSR720921:KTD720921 LCN720921:LCZ720921 LMJ720921:LMV720921 LWF720921:LWR720921 MGB720921:MGN720921 MPX720921:MQJ720921 MZT720921:NAF720921 NJP720921:NKB720921 NTL720921:NTX720921 ODH720921:ODT720921 OND720921:ONP720921 OWZ720921:OXL720921 PGV720921:PHH720921 PQR720921:PRD720921 QAN720921:QAZ720921 QKJ720921:QKV720921 QUF720921:QUR720921 REB720921:REN720921 RNX720921:ROJ720921 RXT720921:RYF720921 SHP720921:SIB720921 SRL720921:SRX720921 TBH720921:TBT720921 TLD720921:TLP720921 TUZ720921:TVL720921 UEV720921:UFH720921 UOR720921:UPD720921 UYN720921:UYZ720921 VIJ720921:VIV720921 VSF720921:VSR720921 WCB720921:WCN720921 WLX720921:WMJ720921 WVT720921:WWF720921 L786457:X786457 JH786457:JT786457 TD786457:TP786457 ACZ786457:ADL786457 AMV786457:ANH786457 AWR786457:AXD786457 BGN786457:BGZ786457 BQJ786457:BQV786457 CAF786457:CAR786457 CKB786457:CKN786457 CTX786457:CUJ786457 DDT786457:DEF786457 DNP786457:DOB786457 DXL786457:DXX786457 EHH786457:EHT786457 ERD786457:ERP786457 FAZ786457:FBL786457 FKV786457:FLH786457 FUR786457:FVD786457 GEN786457:GEZ786457 GOJ786457:GOV786457 GYF786457:GYR786457 HIB786457:HIN786457 HRX786457:HSJ786457 IBT786457:ICF786457 ILP786457:IMB786457 IVL786457:IVX786457 JFH786457:JFT786457 JPD786457:JPP786457 JYZ786457:JZL786457 KIV786457:KJH786457 KSR786457:KTD786457 LCN786457:LCZ786457 LMJ786457:LMV786457 LWF786457:LWR786457 MGB786457:MGN786457 MPX786457:MQJ786457 MZT786457:NAF786457 NJP786457:NKB786457 NTL786457:NTX786457 ODH786457:ODT786457 OND786457:ONP786457 OWZ786457:OXL786457 PGV786457:PHH786457 PQR786457:PRD786457 QAN786457:QAZ786457 QKJ786457:QKV786457 QUF786457:QUR786457 REB786457:REN786457 RNX786457:ROJ786457 RXT786457:RYF786457 SHP786457:SIB786457 SRL786457:SRX786457 TBH786457:TBT786457 TLD786457:TLP786457 TUZ786457:TVL786457 UEV786457:UFH786457 UOR786457:UPD786457 UYN786457:UYZ786457 VIJ786457:VIV786457 VSF786457:VSR786457 WCB786457:WCN786457 WLX786457:WMJ786457 WVT786457:WWF786457 L851993:X851993 JH851993:JT851993 TD851993:TP851993 ACZ851993:ADL851993 AMV851993:ANH851993 AWR851993:AXD851993 BGN851993:BGZ851993 BQJ851993:BQV851993 CAF851993:CAR851993 CKB851993:CKN851993 CTX851993:CUJ851993 DDT851993:DEF851993 DNP851993:DOB851993 DXL851993:DXX851993 EHH851993:EHT851993 ERD851993:ERP851993 FAZ851993:FBL851993 FKV851993:FLH851993 FUR851993:FVD851993 GEN851993:GEZ851993 GOJ851993:GOV851993 GYF851993:GYR851993 HIB851993:HIN851993 HRX851993:HSJ851993 IBT851993:ICF851993 ILP851993:IMB851993 IVL851993:IVX851993 JFH851993:JFT851993 JPD851993:JPP851993 JYZ851993:JZL851993 KIV851993:KJH851993 KSR851993:KTD851993 LCN851993:LCZ851993 LMJ851993:LMV851993 LWF851993:LWR851993 MGB851993:MGN851993 MPX851993:MQJ851993 MZT851993:NAF851993 NJP851993:NKB851993 NTL851993:NTX851993 ODH851993:ODT851993 OND851993:ONP851993 OWZ851993:OXL851993 PGV851993:PHH851993 PQR851993:PRD851993 QAN851993:QAZ851993 QKJ851993:QKV851993 QUF851993:QUR851993 REB851993:REN851993 RNX851993:ROJ851993 RXT851993:RYF851993 SHP851993:SIB851993 SRL851993:SRX851993 TBH851993:TBT851993 TLD851993:TLP851993 TUZ851993:TVL851993 UEV851993:UFH851993 UOR851993:UPD851993 UYN851993:UYZ851993 VIJ851993:VIV851993 VSF851993:VSR851993 WCB851993:WCN851993 WLX851993:WMJ851993 WVT851993:WWF851993 L917529:X917529 JH917529:JT917529 TD917529:TP917529 ACZ917529:ADL917529 AMV917529:ANH917529 AWR917529:AXD917529 BGN917529:BGZ917529 BQJ917529:BQV917529 CAF917529:CAR917529 CKB917529:CKN917529 CTX917529:CUJ917529 DDT917529:DEF917529 DNP917529:DOB917529 DXL917529:DXX917529 EHH917529:EHT917529 ERD917529:ERP917529 FAZ917529:FBL917529 FKV917529:FLH917529 FUR917529:FVD917529 GEN917529:GEZ917529 GOJ917529:GOV917529 GYF917529:GYR917529 HIB917529:HIN917529 HRX917529:HSJ917529 IBT917529:ICF917529 ILP917529:IMB917529 IVL917529:IVX917529 JFH917529:JFT917529 JPD917529:JPP917529 JYZ917529:JZL917529 KIV917529:KJH917529 KSR917529:KTD917529 LCN917529:LCZ917529 LMJ917529:LMV917529 LWF917529:LWR917529 MGB917529:MGN917529 MPX917529:MQJ917529 MZT917529:NAF917529 NJP917529:NKB917529 NTL917529:NTX917529 ODH917529:ODT917529 OND917529:ONP917529 OWZ917529:OXL917529 PGV917529:PHH917529 PQR917529:PRD917529 QAN917529:QAZ917529 QKJ917529:QKV917529 QUF917529:QUR917529 REB917529:REN917529 RNX917529:ROJ917529 RXT917529:RYF917529 SHP917529:SIB917529 SRL917529:SRX917529 TBH917529:TBT917529 TLD917529:TLP917529 TUZ917529:TVL917529 UEV917529:UFH917529 UOR917529:UPD917529 UYN917529:UYZ917529 VIJ917529:VIV917529 VSF917529:VSR917529 WCB917529:WCN917529 WLX917529:WMJ917529 WVT917529:WWF917529 L983065:X983065 JH983065:JT983065 TD983065:TP983065 ACZ983065:ADL983065 AMV983065:ANH983065 AWR983065:AXD983065 BGN983065:BGZ983065 BQJ983065:BQV983065 CAF983065:CAR983065 CKB983065:CKN983065 CTX983065:CUJ983065 DDT983065:DEF983065 DNP983065:DOB983065 DXL983065:DXX983065 EHH983065:EHT983065 ERD983065:ERP983065 FAZ983065:FBL983065 FKV983065:FLH983065 FUR983065:FVD983065 GEN983065:GEZ983065 GOJ983065:GOV983065 GYF983065:GYR983065 HIB983065:HIN983065 HRX983065:HSJ983065 IBT983065:ICF983065 ILP983065:IMB983065 IVL983065:IVX983065 JFH983065:JFT983065 JPD983065:JPP983065 JYZ983065:JZL983065 KIV983065:KJH983065 KSR983065:KTD983065 LCN983065:LCZ983065 LMJ983065:LMV983065 LWF983065:LWR983065 MGB983065:MGN983065 MPX983065:MQJ983065 MZT983065:NAF983065 NJP983065:NKB983065 NTL983065:NTX983065 ODH983065:ODT983065 OND983065:ONP983065 OWZ983065:OXL983065 PGV983065:PHH983065 PQR983065:PRD983065 QAN983065:QAZ983065 QKJ983065:QKV983065 QUF983065:QUR983065 REB983065:REN983065 RNX983065:ROJ983065 RXT983065:RYF983065 SHP983065:SIB983065 SRL983065:SRX983065 TBH983065:TBT983065 TLD983065:TLP983065 TUZ983065:TVL983065 UEV983065:UFH983065 UOR983065:UPD983065 UYN983065:UYZ983065 VIJ983065:VIV983065 VSF983065:VSR983065 WCB983065:WCN983065 WLX983065:WMJ983065" xr:uid="{6E407352-01FE-4804-9F04-CB24B04459C9}"/>
    <dataValidation imeMode="fullAlpha" allowBlank="1" showInputMessage="1" showErrorMessage="1" sqref="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xr:uid="{F09DCEE2-3F8D-44AD-8604-875FE4EAAC89}"/>
    <dataValidation type="list" imeMode="fullAlpha" allowBlank="1" showInputMessage="1" showErrorMessage="1" sqref="I26 WVQ983070 WLU983070 WBY983070 VSC983070 VIG983070 UYK983070 UOO983070 UES983070 TUW983070 TLA983070 TBE983070 SRI983070 SHM983070 RXQ983070 RNU983070 RDY983070 QUC983070 QKG983070 QAK983070 PQO983070 PGS983070 OWW983070 ONA983070 ODE983070 NTI983070 NJM983070 MZQ983070 MPU983070 MFY983070 LWC983070 LMG983070 LCK983070 KSO983070 KIS983070 JYW983070 JPA983070 JFE983070 IVI983070 ILM983070 IBQ983070 HRU983070 HHY983070 GYC983070 GOG983070 GEK983070 FUO983070 FKS983070 FAW983070 ERA983070 EHE983070 DXI983070 DNM983070 DDQ983070 CTU983070 CJY983070 CAC983070 BQG983070 BGK983070 AWO983070 AMS983070 ACW983070 TA983070 JE983070 I983070 WVQ917534 WLU917534 WBY917534 VSC917534 VIG917534 UYK917534 UOO917534 UES917534 TUW917534 TLA917534 TBE917534 SRI917534 SHM917534 RXQ917534 RNU917534 RDY917534 QUC917534 QKG917534 QAK917534 PQO917534 PGS917534 OWW917534 ONA917534 ODE917534 NTI917534 NJM917534 MZQ917534 MPU917534 MFY917534 LWC917534 LMG917534 LCK917534 KSO917534 KIS917534 JYW917534 JPA917534 JFE917534 IVI917534 ILM917534 IBQ917534 HRU917534 HHY917534 GYC917534 GOG917534 GEK917534 FUO917534 FKS917534 FAW917534 ERA917534 EHE917534 DXI917534 DNM917534 DDQ917534 CTU917534 CJY917534 CAC917534 BQG917534 BGK917534 AWO917534 AMS917534 ACW917534 TA917534 JE917534 I917534 WVQ851998 WLU851998 WBY851998 VSC851998 VIG851998 UYK851998 UOO851998 UES851998 TUW851998 TLA851998 TBE851998 SRI851998 SHM851998 RXQ851998 RNU851998 RDY851998 QUC851998 QKG851998 QAK851998 PQO851998 PGS851998 OWW851998 ONA851998 ODE851998 NTI851998 NJM851998 MZQ851998 MPU851998 MFY851998 LWC851998 LMG851998 LCK851998 KSO851998 KIS851998 JYW851998 JPA851998 JFE851998 IVI851998 ILM851998 IBQ851998 HRU851998 HHY851998 GYC851998 GOG851998 GEK851998 FUO851998 FKS851998 FAW851998 ERA851998 EHE851998 DXI851998 DNM851998 DDQ851998 CTU851998 CJY851998 CAC851998 BQG851998 BGK851998 AWO851998 AMS851998 ACW851998 TA851998 JE851998 I851998 WVQ786462 WLU786462 WBY786462 VSC786462 VIG786462 UYK786462 UOO786462 UES786462 TUW786462 TLA786462 TBE786462 SRI786462 SHM786462 RXQ786462 RNU786462 RDY786462 QUC786462 QKG786462 QAK786462 PQO786462 PGS786462 OWW786462 ONA786462 ODE786462 NTI786462 NJM786462 MZQ786462 MPU786462 MFY786462 LWC786462 LMG786462 LCK786462 KSO786462 KIS786462 JYW786462 JPA786462 JFE786462 IVI786462 ILM786462 IBQ786462 HRU786462 HHY786462 GYC786462 GOG786462 GEK786462 FUO786462 FKS786462 FAW786462 ERA786462 EHE786462 DXI786462 DNM786462 DDQ786462 CTU786462 CJY786462 CAC786462 BQG786462 BGK786462 AWO786462 AMS786462 ACW786462 TA786462 JE786462 I786462 WVQ720926 WLU720926 WBY720926 VSC720926 VIG720926 UYK720926 UOO720926 UES720926 TUW720926 TLA720926 TBE720926 SRI720926 SHM720926 RXQ720926 RNU720926 RDY720926 QUC720926 QKG720926 QAK720926 PQO720926 PGS720926 OWW720926 ONA720926 ODE720926 NTI720926 NJM720926 MZQ720926 MPU720926 MFY720926 LWC720926 LMG720926 LCK720926 KSO720926 KIS720926 JYW720926 JPA720926 JFE720926 IVI720926 ILM720926 IBQ720926 HRU720926 HHY720926 GYC720926 GOG720926 GEK720926 FUO720926 FKS720926 FAW720926 ERA720926 EHE720926 DXI720926 DNM720926 DDQ720926 CTU720926 CJY720926 CAC720926 BQG720926 BGK720926 AWO720926 AMS720926 ACW720926 TA720926 JE720926 I720926 WVQ655390 WLU655390 WBY655390 VSC655390 VIG655390 UYK655390 UOO655390 UES655390 TUW655390 TLA655390 TBE655390 SRI655390 SHM655390 RXQ655390 RNU655390 RDY655390 QUC655390 QKG655390 QAK655390 PQO655390 PGS655390 OWW655390 ONA655390 ODE655390 NTI655390 NJM655390 MZQ655390 MPU655390 MFY655390 LWC655390 LMG655390 LCK655390 KSO655390 KIS655390 JYW655390 JPA655390 JFE655390 IVI655390 ILM655390 IBQ655390 HRU655390 HHY655390 GYC655390 GOG655390 GEK655390 FUO655390 FKS655390 FAW655390 ERA655390 EHE655390 DXI655390 DNM655390 DDQ655390 CTU655390 CJY655390 CAC655390 BQG655390 BGK655390 AWO655390 AMS655390 ACW655390 TA655390 JE655390 I655390 WVQ589854 WLU589854 WBY589854 VSC589854 VIG589854 UYK589854 UOO589854 UES589854 TUW589854 TLA589854 TBE589854 SRI589854 SHM589854 RXQ589854 RNU589854 RDY589854 QUC589854 QKG589854 QAK589854 PQO589854 PGS589854 OWW589854 ONA589854 ODE589854 NTI589854 NJM589854 MZQ589854 MPU589854 MFY589854 LWC589854 LMG589854 LCK589854 KSO589854 KIS589854 JYW589854 JPA589854 JFE589854 IVI589854 ILM589854 IBQ589854 HRU589854 HHY589854 GYC589854 GOG589854 GEK589854 FUO589854 FKS589854 FAW589854 ERA589854 EHE589854 DXI589854 DNM589854 DDQ589854 CTU589854 CJY589854 CAC589854 BQG589854 BGK589854 AWO589854 AMS589854 ACW589854 TA589854 JE589854 I589854 WVQ524318 WLU524318 WBY524318 VSC524318 VIG524318 UYK524318 UOO524318 UES524318 TUW524318 TLA524318 TBE524318 SRI524318 SHM524318 RXQ524318 RNU524318 RDY524318 QUC524318 QKG524318 QAK524318 PQO524318 PGS524318 OWW524318 ONA524318 ODE524318 NTI524318 NJM524318 MZQ524318 MPU524318 MFY524318 LWC524318 LMG524318 LCK524318 KSO524318 KIS524318 JYW524318 JPA524318 JFE524318 IVI524318 ILM524318 IBQ524318 HRU524318 HHY524318 GYC524318 GOG524318 GEK524318 FUO524318 FKS524318 FAW524318 ERA524318 EHE524318 DXI524318 DNM524318 DDQ524318 CTU524318 CJY524318 CAC524318 BQG524318 BGK524318 AWO524318 AMS524318 ACW524318 TA524318 JE524318 I524318 WVQ458782 WLU458782 WBY458782 VSC458782 VIG458782 UYK458782 UOO458782 UES458782 TUW458782 TLA458782 TBE458782 SRI458782 SHM458782 RXQ458782 RNU458782 RDY458782 QUC458782 QKG458782 QAK458782 PQO458782 PGS458782 OWW458782 ONA458782 ODE458782 NTI458782 NJM458782 MZQ458782 MPU458782 MFY458782 LWC458782 LMG458782 LCK458782 KSO458782 KIS458782 JYW458782 JPA458782 JFE458782 IVI458782 ILM458782 IBQ458782 HRU458782 HHY458782 GYC458782 GOG458782 GEK458782 FUO458782 FKS458782 FAW458782 ERA458782 EHE458782 DXI458782 DNM458782 DDQ458782 CTU458782 CJY458782 CAC458782 BQG458782 BGK458782 AWO458782 AMS458782 ACW458782 TA458782 JE458782 I458782 WVQ393246 WLU393246 WBY393246 VSC393246 VIG393246 UYK393246 UOO393246 UES393246 TUW393246 TLA393246 TBE393246 SRI393246 SHM393246 RXQ393246 RNU393246 RDY393246 QUC393246 QKG393246 QAK393246 PQO393246 PGS393246 OWW393246 ONA393246 ODE393246 NTI393246 NJM393246 MZQ393246 MPU393246 MFY393246 LWC393246 LMG393246 LCK393246 KSO393246 KIS393246 JYW393246 JPA393246 JFE393246 IVI393246 ILM393246 IBQ393246 HRU393246 HHY393246 GYC393246 GOG393246 GEK393246 FUO393246 FKS393246 FAW393246 ERA393246 EHE393246 DXI393246 DNM393246 DDQ393246 CTU393246 CJY393246 CAC393246 BQG393246 BGK393246 AWO393246 AMS393246 ACW393246 TA393246 JE393246 I393246 WVQ327710 WLU327710 WBY327710 VSC327710 VIG327710 UYK327710 UOO327710 UES327710 TUW327710 TLA327710 TBE327710 SRI327710 SHM327710 RXQ327710 RNU327710 RDY327710 QUC327710 QKG327710 QAK327710 PQO327710 PGS327710 OWW327710 ONA327710 ODE327710 NTI327710 NJM327710 MZQ327710 MPU327710 MFY327710 LWC327710 LMG327710 LCK327710 KSO327710 KIS327710 JYW327710 JPA327710 JFE327710 IVI327710 ILM327710 IBQ327710 HRU327710 HHY327710 GYC327710 GOG327710 GEK327710 FUO327710 FKS327710 FAW327710 ERA327710 EHE327710 DXI327710 DNM327710 DDQ327710 CTU327710 CJY327710 CAC327710 BQG327710 BGK327710 AWO327710 AMS327710 ACW327710 TA327710 JE327710 I327710 WVQ262174 WLU262174 WBY262174 VSC262174 VIG262174 UYK262174 UOO262174 UES262174 TUW262174 TLA262174 TBE262174 SRI262174 SHM262174 RXQ262174 RNU262174 RDY262174 QUC262174 QKG262174 QAK262174 PQO262174 PGS262174 OWW262174 ONA262174 ODE262174 NTI262174 NJM262174 MZQ262174 MPU262174 MFY262174 LWC262174 LMG262174 LCK262174 KSO262174 KIS262174 JYW262174 JPA262174 JFE262174 IVI262174 ILM262174 IBQ262174 HRU262174 HHY262174 GYC262174 GOG262174 GEK262174 FUO262174 FKS262174 FAW262174 ERA262174 EHE262174 DXI262174 DNM262174 DDQ262174 CTU262174 CJY262174 CAC262174 BQG262174 BGK262174 AWO262174 AMS262174 ACW262174 TA262174 JE262174 I262174 WVQ196638 WLU196638 WBY196638 VSC196638 VIG196638 UYK196638 UOO196638 UES196638 TUW196638 TLA196638 TBE196638 SRI196638 SHM196638 RXQ196638 RNU196638 RDY196638 QUC196638 QKG196638 QAK196638 PQO196638 PGS196638 OWW196638 ONA196638 ODE196638 NTI196638 NJM196638 MZQ196638 MPU196638 MFY196638 LWC196638 LMG196638 LCK196638 KSO196638 KIS196638 JYW196638 JPA196638 JFE196638 IVI196638 ILM196638 IBQ196638 HRU196638 HHY196638 GYC196638 GOG196638 GEK196638 FUO196638 FKS196638 FAW196638 ERA196638 EHE196638 DXI196638 DNM196638 DDQ196638 CTU196638 CJY196638 CAC196638 BQG196638 BGK196638 AWO196638 AMS196638 ACW196638 TA196638 JE196638 I196638 WVQ131102 WLU131102 WBY131102 VSC131102 VIG131102 UYK131102 UOO131102 UES131102 TUW131102 TLA131102 TBE131102 SRI131102 SHM131102 RXQ131102 RNU131102 RDY131102 QUC131102 QKG131102 QAK131102 PQO131102 PGS131102 OWW131102 ONA131102 ODE131102 NTI131102 NJM131102 MZQ131102 MPU131102 MFY131102 LWC131102 LMG131102 LCK131102 KSO131102 KIS131102 JYW131102 JPA131102 JFE131102 IVI131102 ILM131102 IBQ131102 HRU131102 HHY131102 GYC131102 GOG131102 GEK131102 FUO131102 FKS131102 FAW131102 ERA131102 EHE131102 DXI131102 DNM131102 DDQ131102 CTU131102 CJY131102 CAC131102 BQG131102 BGK131102 AWO131102 AMS131102 ACW131102 TA131102 JE131102 I131102 WVQ65566 WLU65566 WBY65566 VSC65566 VIG65566 UYK65566 UOO65566 UES65566 TUW65566 TLA65566 TBE65566 SRI65566 SHM65566 RXQ65566 RNU65566 RDY65566 QUC65566 QKG65566 QAK65566 PQO65566 PGS65566 OWW65566 ONA65566 ODE65566 NTI65566 NJM65566 MZQ65566 MPU65566 MFY65566 LWC65566 LMG65566 LCK65566 KSO65566 KIS65566 JYW65566 JPA65566 JFE65566 IVI65566 ILM65566 IBQ65566 HRU65566 HHY65566 GYC65566 GOG65566 GEK65566 FUO65566 FKS65566 FAW65566 ERA65566 EHE65566 DXI65566 DNM65566 DDQ65566 CTU65566 CJY65566 CAC65566 BQG65566 BGK65566 AWO65566 AMS65566 ACW65566 TA65566 JE65566 I65566 WVQ30 WLU30 WBY30 VSC30 VIG30 UYK30 UOO30 UES30 TUW30 TLA30 TBE30 SRI30 SHM30 RXQ30 RNU30 RDY30 QUC30 QKG30 QAK30 PQO30 PGS30 OWW30 ONA30 ODE30 NTI30 NJM30 MZQ30 MPU30 MFY30 LWC30 LMG30 LCK30 KSO30 KIS30 JYW30 JPA30 JFE30 IVI30 ILM30 IBQ30 HRU30 HHY30 GYC30 GOG30 GEK30 FUO30 FKS30 FAW30 ERA30 EHE30 DXI30 DNM30 DDQ30 CTU30 CJY30 CAC30 BQG30 BGK30 AWO30 AMS30 ACW30 TA30 JE30 I30 WVQ983068 WLU983068 WBY983068 VSC983068 VIG983068 UYK983068 UOO983068 UES983068 TUW983068 TLA983068 TBE983068 SRI983068 SHM983068 RXQ983068 RNU983068 RDY983068 QUC983068 QKG983068 QAK983068 PQO983068 PGS983068 OWW983068 ONA983068 ODE983068 NTI983068 NJM983068 MZQ983068 MPU983068 MFY983068 LWC983068 LMG983068 LCK983068 KSO983068 KIS983068 JYW983068 JPA983068 JFE983068 IVI983068 ILM983068 IBQ983068 HRU983068 HHY983068 GYC983068 GOG983068 GEK983068 FUO983068 FKS983068 FAW983068 ERA983068 EHE983068 DXI983068 DNM983068 DDQ983068 CTU983068 CJY983068 CAC983068 BQG983068 BGK983068 AWO983068 AMS983068 ACW983068 TA983068 JE983068 I983068 WVQ917532 WLU917532 WBY917532 VSC917532 VIG917532 UYK917532 UOO917532 UES917532 TUW917532 TLA917532 TBE917532 SRI917532 SHM917532 RXQ917532 RNU917532 RDY917532 QUC917532 QKG917532 QAK917532 PQO917532 PGS917532 OWW917532 ONA917532 ODE917532 NTI917532 NJM917532 MZQ917532 MPU917532 MFY917532 LWC917532 LMG917532 LCK917532 KSO917532 KIS917532 JYW917532 JPA917532 JFE917532 IVI917532 ILM917532 IBQ917532 HRU917532 HHY917532 GYC917532 GOG917532 GEK917532 FUO917532 FKS917532 FAW917532 ERA917532 EHE917532 DXI917532 DNM917532 DDQ917532 CTU917532 CJY917532 CAC917532 BQG917532 BGK917532 AWO917532 AMS917532 ACW917532 TA917532 JE917532 I917532 WVQ851996 WLU851996 WBY851996 VSC851996 VIG851996 UYK851996 UOO851996 UES851996 TUW851996 TLA851996 TBE851996 SRI851996 SHM851996 RXQ851996 RNU851996 RDY851996 QUC851996 QKG851996 QAK851996 PQO851996 PGS851996 OWW851996 ONA851996 ODE851996 NTI851996 NJM851996 MZQ851996 MPU851996 MFY851996 LWC851996 LMG851996 LCK851996 KSO851996 KIS851996 JYW851996 JPA851996 JFE851996 IVI851996 ILM851996 IBQ851996 HRU851996 HHY851996 GYC851996 GOG851996 GEK851996 FUO851996 FKS851996 FAW851996 ERA851996 EHE851996 DXI851996 DNM851996 DDQ851996 CTU851996 CJY851996 CAC851996 BQG851996 BGK851996 AWO851996 AMS851996 ACW851996 TA851996 JE851996 I851996 WVQ786460 WLU786460 WBY786460 VSC786460 VIG786460 UYK786460 UOO786460 UES786460 TUW786460 TLA786460 TBE786460 SRI786460 SHM786460 RXQ786460 RNU786460 RDY786460 QUC786460 QKG786460 QAK786460 PQO786460 PGS786460 OWW786460 ONA786460 ODE786460 NTI786460 NJM786460 MZQ786460 MPU786460 MFY786460 LWC786460 LMG786460 LCK786460 KSO786460 KIS786460 JYW786460 JPA786460 JFE786460 IVI786460 ILM786460 IBQ786460 HRU786460 HHY786460 GYC786460 GOG786460 GEK786460 FUO786460 FKS786460 FAW786460 ERA786460 EHE786460 DXI786460 DNM786460 DDQ786460 CTU786460 CJY786460 CAC786460 BQG786460 BGK786460 AWO786460 AMS786460 ACW786460 TA786460 JE786460 I786460 WVQ720924 WLU720924 WBY720924 VSC720924 VIG720924 UYK720924 UOO720924 UES720924 TUW720924 TLA720924 TBE720924 SRI720924 SHM720924 RXQ720924 RNU720924 RDY720924 QUC720924 QKG720924 QAK720924 PQO720924 PGS720924 OWW720924 ONA720924 ODE720924 NTI720924 NJM720924 MZQ720924 MPU720924 MFY720924 LWC720924 LMG720924 LCK720924 KSO720924 KIS720924 JYW720924 JPA720924 JFE720924 IVI720924 ILM720924 IBQ720924 HRU720924 HHY720924 GYC720924 GOG720924 GEK720924 FUO720924 FKS720924 FAW720924 ERA720924 EHE720924 DXI720924 DNM720924 DDQ720924 CTU720924 CJY720924 CAC720924 BQG720924 BGK720924 AWO720924 AMS720924 ACW720924 TA720924 JE720924 I720924 WVQ655388 WLU655388 WBY655388 VSC655388 VIG655388 UYK655388 UOO655388 UES655388 TUW655388 TLA655388 TBE655388 SRI655388 SHM655388 RXQ655388 RNU655388 RDY655388 QUC655388 QKG655388 QAK655388 PQO655388 PGS655388 OWW655388 ONA655388 ODE655388 NTI655388 NJM655388 MZQ655388 MPU655388 MFY655388 LWC655388 LMG655388 LCK655388 KSO655388 KIS655388 JYW655388 JPA655388 JFE655388 IVI655388 ILM655388 IBQ655388 HRU655388 HHY655388 GYC655388 GOG655388 GEK655388 FUO655388 FKS655388 FAW655388 ERA655388 EHE655388 DXI655388 DNM655388 DDQ655388 CTU655388 CJY655388 CAC655388 BQG655388 BGK655388 AWO655388 AMS655388 ACW655388 TA655388 JE655388 I655388 WVQ589852 WLU589852 WBY589852 VSC589852 VIG589852 UYK589852 UOO589852 UES589852 TUW589852 TLA589852 TBE589852 SRI589852 SHM589852 RXQ589852 RNU589852 RDY589852 QUC589852 QKG589852 QAK589852 PQO589852 PGS589852 OWW589852 ONA589852 ODE589852 NTI589852 NJM589852 MZQ589852 MPU589852 MFY589852 LWC589852 LMG589852 LCK589852 KSO589852 KIS589852 JYW589852 JPA589852 JFE589852 IVI589852 ILM589852 IBQ589852 HRU589852 HHY589852 GYC589852 GOG589852 GEK589852 FUO589852 FKS589852 FAW589852 ERA589852 EHE589852 DXI589852 DNM589852 DDQ589852 CTU589852 CJY589852 CAC589852 BQG589852 BGK589852 AWO589852 AMS589852 ACW589852 TA589852 JE589852 I589852 WVQ524316 WLU524316 WBY524316 VSC524316 VIG524316 UYK524316 UOO524316 UES524316 TUW524316 TLA524316 TBE524316 SRI524316 SHM524316 RXQ524316 RNU524316 RDY524316 QUC524316 QKG524316 QAK524316 PQO524316 PGS524316 OWW524316 ONA524316 ODE524316 NTI524316 NJM524316 MZQ524316 MPU524316 MFY524316 LWC524316 LMG524316 LCK524316 KSO524316 KIS524316 JYW524316 JPA524316 JFE524316 IVI524316 ILM524316 IBQ524316 HRU524316 HHY524316 GYC524316 GOG524316 GEK524316 FUO524316 FKS524316 FAW524316 ERA524316 EHE524316 DXI524316 DNM524316 DDQ524316 CTU524316 CJY524316 CAC524316 BQG524316 BGK524316 AWO524316 AMS524316 ACW524316 TA524316 JE524316 I524316 WVQ458780 WLU458780 WBY458780 VSC458780 VIG458780 UYK458780 UOO458780 UES458780 TUW458780 TLA458780 TBE458780 SRI458780 SHM458780 RXQ458780 RNU458780 RDY458780 QUC458780 QKG458780 QAK458780 PQO458780 PGS458780 OWW458780 ONA458780 ODE458780 NTI458780 NJM458780 MZQ458780 MPU458780 MFY458780 LWC458780 LMG458780 LCK458780 KSO458780 KIS458780 JYW458780 JPA458780 JFE458780 IVI458780 ILM458780 IBQ458780 HRU458780 HHY458780 GYC458780 GOG458780 GEK458780 FUO458780 FKS458780 FAW458780 ERA458780 EHE458780 DXI458780 DNM458780 DDQ458780 CTU458780 CJY458780 CAC458780 BQG458780 BGK458780 AWO458780 AMS458780 ACW458780 TA458780 JE458780 I458780 WVQ393244 WLU393244 WBY393244 VSC393244 VIG393244 UYK393244 UOO393244 UES393244 TUW393244 TLA393244 TBE393244 SRI393244 SHM393244 RXQ393244 RNU393244 RDY393244 QUC393244 QKG393244 QAK393244 PQO393244 PGS393244 OWW393244 ONA393244 ODE393244 NTI393244 NJM393244 MZQ393244 MPU393244 MFY393244 LWC393244 LMG393244 LCK393244 KSO393244 KIS393244 JYW393244 JPA393244 JFE393244 IVI393244 ILM393244 IBQ393244 HRU393244 HHY393244 GYC393244 GOG393244 GEK393244 FUO393244 FKS393244 FAW393244 ERA393244 EHE393244 DXI393244 DNM393244 DDQ393244 CTU393244 CJY393244 CAC393244 BQG393244 BGK393244 AWO393244 AMS393244 ACW393244 TA393244 JE393244 I393244 WVQ327708 WLU327708 WBY327708 VSC327708 VIG327708 UYK327708 UOO327708 UES327708 TUW327708 TLA327708 TBE327708 SRI327708 SHM327708 RXQ327708 RNU327708 RDY327708 QUC327708 QKG327708 QAK327708 PQO327708 PGS327708 OWW327708 ONA327708 ODE327708 NTI327708 NJM327708 MZQ327708 MPU327708 MFY327708 LWC327708 LMG327708 LCK327708 KSO327708 KIS327708 JYW327708 JPA327708 JFE327708 IVI327708 ILM327708 IBQ327708 HRU327708 HHY327708 GYC327708 GOG327708 GEK327708 FUO327708 FKS327708 FAW327708 ERA327708 EHE327708 DXI327708 DNM327708 DDQ327708 CTU327708 CJY327708 CAC327708 BQG327708 BGK327708 AWO327708 AMS327708 ACW327708 TA327708 JE327708 I327708 WVQ262172 WLU262172 WBY262172 VSC262172 VIG262172 UYK262172 UOO262172 UES262172 TUW262172 TLA262172 TBE262172 SRI262172 SHM262172 RXQ262172 RNU262172 RDY262172 QUC262172 QKG262172 QAK262172 PQO262172 PGS262172 OWW262172 ONA262172 ODE262172 NTI262172 NJM262172 MZQ262172 MPU262172 MFY262172 LWC262172 LMG262172 LCK262172 KSO262172 KIS262172 JYW262172 JPA262172 JFE262172 IVI262172 ILM262172 IBQ262172 HRU262172 HHY262172 GYC262172 GOG262172 GEK262172 FUO262172 FKS262172 FAW262172 ERA262172 EHE262172 DXI262172 DNM262172 DDQ262172 CTU262172 CJY262172 CAC262172 BQG262172 BGK262172 AWO262172 AMS262172 ACW262172 TA262172 JE262172 I262172 WVQ196636 WLU196636 WBY196636 VSC196636 VIG196636 UYK196636 UOO196636 UES196636 TUW196636 TLA196636 TBE196636 SRI196636 SHM196636 RXQ196636 RNU196636 RDY196636 QUC196636 QKG196636 QAK196636 PQO196636 PGS196636 OWW196636 ONA196636 ODE196636 NTI196636 NJM196636 MZQ196636 MPU196636 MFY196636 LWC196636 LMG196636 LCK196636 KSO196636 KIS196636 JYW196636 JPA196636 JFE196636 IVI196636 ILM196636 IBQ196636 HRU196636 HHY196636 GYC196636 GOG196636 GEK196636 FUO196636 FKS196636 FAW196636 ERA196636 EHE196636 DXI196636 DNM196636 DDQ196636 CTU196636 CJY196636 CAC196636 BQG196636 BGK196636 AWO196636 AMS196636 ACW196636 TA196636 JE196636 I196636 WVQ131100 WLU131100 WBY131100 VSC131100 VIG131100 UYK131100 UOO131100 UES131100 TUW131100 TLA131100 TBE131100 SRI131100 SHM131100 RXQ131100 RNU131100 RDY131100 QUC131100 QKG131100 QAK131100 PQO131100 PGS131100 OWW131100 ONA131100 ODE131100 NTI131100 NJM131100 MZQ131100 MPU131100 MFY131100 LWC131100 LMG131100 LCK131100 KSO131100 KIS131100 JYW131100 JPA131100 JFE131100 IVI131100 ILM131100 IBQ131100 HRU131100 HHY131100 GYC131100 GOG131100 GEK131100 FUO131100 FKS131100 FAW131100 ERA131100 EHE131100 DXI131100 DNM131100 DDQ131100 CTU131100 CJY131100 CAC131100 BQG131100 BGK131100 AWO131100 AMS131100 ACW131100 TA131100 JE131100 I131100 WVQ65564 WLU65564 WBY65564 VSC65564 VIG65564 UYK65564 UOO65564 UES65564 TUW65564 TLA65564 TBE65564 SRI65564 SHM65564 RXQ65564 RNU65564 RDY65564 QUC65564 QKG65564 QAK65564 PQO65564 PGS65564 OWW65564 ONA65564 ODE65564 NTI65564 NJM65564 MZQ65564 MPU65564 MFY65564 LWC65564 LMG65564 LCK65564 KSO65564 KIS65564 JYW65564 JPA65564 JFE65564 IVI65564 ILM65564 IBQ65564 HRU65564 HHY65564 GYC65564 GOG65564 GEK65564 FUO65564 FKS65564 FAW65564 ERA65564 EHE65564 DXI65564 DNM65564 DDQ65564 CTU65564 CJY65564 CAC65564 BQG65564 BGK65564 AWO65564 AMS65564 ACW65564 TA65564 JE65564 I65564 WVQ28 WLU28 WBY28 VSC28 VIG28 UYK28 UOO28 UES28 TUW28 TLA28 TBE28 SRI28 SHM28 RXQ28 RNU28 RDY28 QUC28 QKG28 QAK28 PQO28 PGS28 OWW28 ONA28 ODE28 NTI28 NJM28 MZQ28 MPU28 MFY28 LWC28 LMG28 LCK28 KSO28 KIS28 JYW28 JPA28 JFE28 IVI28 ILM28 IBQ28 HRU28 HHY28 GYC28 GOG28 GEK28 FUO28 FKS28 FAW28 ERA28 EHE28 DXI28 DNM28 DDQ28 CTU28 CJY28 CAC28 BQG28 BGK28 AWO28 AMS28 ACW28 TA28 JE28 I28 WVQ983066 WLU983066 WBY983066 VSC983066 VIG983066 UYK983066 UOO983066 UES983066 TUW983066 TLA983066 TBE983066 SRI983066 SHM983066 RXQ983066 RNU983066 RDY983066 QUC983066 QKG983066 QAK983066 PQO983066 PGS983066 OWW983066 ONA983066 ODE983066 NTI983066 NJM983066 MZQ983066 MPU983066 MFY983066 LWC983066 LMG983066 LCK983066 KSO983066 KIS983066 JYW983066 JPA983066 JFE983066 IVI983066 ILM983066 IBQ983066 HRU983066 HHY983066 GYC983066 GOG983066 GEK983066 FUO983066 FKS983066 FAW983066 ERA983066 EHE983066 DXI983066 DNM983066 DDQ983066 CTU983066 CJY983066 CAC983066 BQG983066 BGK983066 AWO983066 AMS983066 ACW983066 TA983066 JE983066 I983066 WVQ917530 WLU917530 WBY917530 VSC917530 VIG917530 UYK917530 UOO917530 UES917530 TUW917530 TLA917530 TBE917530 SRI917530 SHM917530 RXQ917530 RNU917530 RDY917530 QUC917530 QKG917530 QAK917530 PQO917530 PGS917530 OWW917530 ONA917530 ODE917530 NTI917530 NJM917530 MZQ917530 MPU917530 MFY917530 LWC917530 LMG917530 LCK917530 KSO917530 KIS917530 JYW917530 JPA917530 JFE917530 IVI917530 ILM917530 IBQ917530 HRU917530 HHY917530 GYC917530 GOG917530 GEK917530 FUO917530 FKS917530 FAW917530 ERA917530 EHE917530 DXI917530 DNM917530 DDQ917530 CTU917530 CJY917530 CAC917530 BQG917530 BGK917530 AWO917530 AMS917530 ACW917530 TA917530 JE917530 I917530 WVQ851994 WLU851994 WBY851994 VSC851994 VIG851994 UYK851994 UOO851994 UES851994 TUW851994 TLA851994 TBE851994 SRI851994 SHM851994 RXQ851994 RNU851994 RDY851994 QUC851994 QKG851994 QAK851994 PQO851994 PGS851994 OWW851994 ONA851994 ODE851994 NTI851994 NJM851994 MZQ851994 MPU851994 MFY851994 LWC851994 LMG851994 LCK851994 KSO851994 KIS851994 JYW851994 JPA851994 JFE851994 IVI851994 ILM851994 IBQ851994 HRU851994 HHY851994 GYC851994 GOG851994 GEK851994 FUO851994 FKS851994 FAW851994 ERA851994 EHE851994 DXI851994 DNM851994 DDQ851994 CTU851994 CJY851994 CAC851994 BQG851994 BGK851994 AWO851994 AMS851994 ACW851994 TA851994 JE851994 I851994 WVQ786458 WLU786458 WBY786458 VSC786458 VIG786458 UYK786458 UOO786458 UES786458 TUW786458 TLA786458 TBE786458 SRI786458 SHM786458 RXQ786458 RNU786458 RDY786458 QUC786458 QKG786458 QAK786458 PQO786458 PGS786458 OWW786458 ONA786458 ODE786458 NTI786458 NJM786458 MZQ786458 MPU786458 MFY786458 LWC786458 LMG786458 LCK786458 KSO786458 KIS786458 JYW786458 JPA786458 JFE786458 IVI786458 ILM786458 IBQ786458 HRU786458 HHY786458 GYC786458 GOG786458 GEK786458 FUO786458 FKS786458 FAW786458 ERA786458 EHE786458 DXI786458 DNM786458 DDQ786458 CTU786458 CJY786458 CAC786458 BQG786458 BGK786458 AWO786458 AMS786458 ACW786458 TA786458 JE786458 I786458 WVQ720922 WLU720922 WBY720922 VSC720922 VIG720922 UYK720922 UOO720922 UES720922 TUW720922 TLA720922 TBE720922 SRI720922 SHM720922 RXQ720922 RNU720922 RDY720922 QUC720922 QKG720922 QAK720922 PQO720922 PGS720922 OWW720922 ONA720922 ODE720922 NTI720922 NJM720922 MZQ720922 MPU720922 MFY720922 LWC720922 LMG720922 LCK720922 KSO720922 KIS720922 JYW720922 JPA720922 JFE720922 IVI720922 ILM720922 IBQ720922 HRU720922 HHY720922 GYC720922 GOG720922 GEK720922 FUO720922 FKS720922 FAW720922 ERA720922 EHE720922 DXI720922 DNM720922 DDQ720922 CTU720922 CJY720922 CAC720922 BQG720922 BGK720922 AWO720922 AMS720922 ACW720922 TA720922 JE720922 I720922 WVQ655386 WLU655386 WBY655386 VSC655386 VIG655386 UYK655386 UOO655386 UES655386 TUW655386 TLA655386 TBE655386 SRI655386 SHM655386 RXQ655386 RNU655386 RDY655386 QUC655386 QKG655386 QAK655386 PQO655386 PGS655386 OWW655386 ONA655386 ODE655386 NTI655386 NJM655386 MZQ655386 MPU655386 MFY655386 LWC655386 LMG655386 LCK655386 KSO655386 KIS655386 JYW655386 JPA655386 JFE655386 IVI655386 ILM655386 IBQ655386 HRU655386 HHY655386 GYC655386 GOG655386 GEK655386 FUO655386 FKS655386 FAW655386 ERA655386 EHE655386 DXI655386 DNM655386 DDQ655386 CTU655386 CJY655386 CAC655386 BQG655386 BGK655386 AWO655386 AMS655386 ACW655386 TA655386 JE655386 I655386 WVQ589850 WLU589850 WBY589850 VSC589850 VIG589850 UYK589850 UOO589850 UES589850 TUW589850 TLA589850 TBE589850 SRI589850 SHM589850 RXQ589850 RNU589850 RDY589850 QUC589850 QKG589850 QAK589850 PQO589850 PGS589850 OWW589850 ONA589850 ODE589850 NTI589850 NJM589850 MZQ589850 MPU589850 MFY589850 LWC589850 LMG589850 LCK589850 KSO589850 KIS589850 JYW589850 JPA589850 JFE589850 IVI589850 ILM589850 IBQ589850 HRU589850 HHY589850 GYC589850 GOG589850 GEK589850 FUO589850 FKS589850 FAW589850 ERA589850 EHE589850 DXI589850 DNM589850 DDQ589850 CTU589850 CJY589850 CAC589850 BQG589850 BGK589850 AWO589850 AMS589850 ACW589850 TA589850 JE589850 I589850 WVQ524314 WLU524314 WBY524314 VSC524314 VIG524314 UYK524314 UOO524314 UES524314 TUW524314 TLA524314 TBE524314 SRI524314 SHM524314 RXQ524314 RNU524314 RDY524314 QUC524314 QKG524314 QAK524314 PQO524314 PGS524314 OWW524314 ONA524314 ODE524314 NTI524314 NJM524314 MZQ524314 MPU524314 MFY524314 LWC524314 LMG524314 LCK524314 KSO524314 KIS524314 JYW524314 JPA524314 JFE524314 IVI524314 ILM524314 IBQ524314 HRU524314 HHY524314 GYC524314 GOG524314 GEK524314 FUO524314 FKS524314 FAW524314 ERA524314 EHE524314 DXI524314 DNM524314 DDQ524314 CTU524314 CJY524314 CAC524314 BQG524314 BGK524314 AWO524314 AMS524314 ACW524314 TA524314 JE524314 I524314 WVQ458778 WLU458778 WBY458778 VSC458778 VIG458778 UYK458778 UOO458778 UES458778 TUW458778 TLA458778 TBE458778 SRI458778 SHM458778 RXQ458778 RNU458778 RDY458778 QUC458778 QKG458778 QAK458778 PQO458778 PGS458778 OWW458778 ONA458778 ODE458778 NTI458778 NJM458778 MZQ458778 MPU458778 MFY458778 LWC458778 LMG458778 LCK458778 KSO458778 KIS458778 JYW458778 JPA458778 JFE458778 IVI458778 ILM458778 IBQ458778 HRU458778 HHY458778 GYC458778 GOG458778 GEK458778 FUO458778 FKS458778 FAW458778 ERA458778 EHE458778 DXI458778 DNM458778 DDQ458778 CTU458778 CJY458778 CAC458778 BQG458778 BGK458778 AWO458778 AMS458778 ACW458778 TA458778 JE458778 I458778 WVQ393242 WLU393242 WBY393242 VSC393242 VIG393242 UYK393242 UOO393242 UES393242 TUW393242 TLA393242 TBE393242 SRI393242 SHM393242 RXQ393242 RNU393242 RDY393242 QUC393242 QKG393242 QAK393242 PQO393242 PGS393242 OWW393242 ONA393242 ODE393242 NTI393242 NJM393242 MZQ393242 MPU393242 MFY393242 LWC393242 LMG393242 LCK393242 KSO393242 KIS393242 JYW393242 JPA393242 JFE393242 IVI393242 ILM393242 IBQ393242 HRU393242 HHY393242 GYC393242 GOG393242 GEK393242 FUO393242 FKS393242 FAW393242 ERA393242 EHE393242 DXI393242 DNM393242 DDQ393242 CTU393242 CJY393242 CAC393242 BQG393242 BGK393242 AWO393242 AMS393242 ACW393242 TA393242 JE393242 I393242 WVQ327706 WLU327706 WBY327706 VSC327706 VIG327706 UYK327706 UOO327706 UES327706 TUW327706 TLA327706 TBE327706 SRI327706 SHM327706 RXQ327706 RNU327706 RDY327706 QUC327706 QKG327706 QAK327706 PQO327706 PGS327706 OWW327706 ONA327706 ODE327706 NTI327706 NJM327706 MZQ327706 MPU327706 MFY327706 LWC327706 LMG327706 LCK327706 KSO327706 KIS327706 JYW327706 JPA327706 JFE327706 IVI327706 ILM327706 IBQ327706 HRU327706 HHY327706 GYC327706 GOG327706 GEK327706 FUO327706 FKS327706 FAW327706 ERA327706 EHE327706 DXI327706 DNM327706 DDQ327706 CTU327706 CJY327706 CAC327706 BQG327706 BGK327706 AWO327706 AMS327706 ACW327706 TA327706 JE327706 I327706 WVQ262170 WLU262170 WBY262170 VSC262170 VIG262170 UYK262170 UOO262170 UES262170 TUW262170 TLA262170 TBE262170 SRI262170 SHM262170 RXQ262170 RNU262170 RDY262170 QUC262170 QKG262170 QAK262170 PQO262170 PGS262170 OWW262170 ONA262170 ODE262170 NTI262170 NJM262170 MZQ262170 MPU262170 MFY262170 LWC262170 LMG262170 LCK262170 KSO262170 KIS262170 JYW262170 JPA262170 JFE262170 IVI262170 ILM262170 IBQ262170 HRU262170 HHY262170 GYC262170 GOG262170 GEK262170 FUO262170 FKS262170 FAW262170 ERA262170 EHE262170 DXI262170 DNM262170 DDQ262170 CTU262170 CJY262170 CAC262170 BQG262170 BGK262170 AWO262170 AMS262170 ACW262170 TA262170 JE262170 I262170 WVQ196634 WLU196634 WBY196634 VSC196634 VIG196634 UYK196634 UOO196634 UES196634 TUW196634 TLA196634 TBE196634 SRI196634 SHM196634 RXQ196634 RNU196634 RDY196634 QUC196634 QKG196634 QAK196634 PQO196634 PGS196634 OWW196634 ONA196634 ODE196634 NTI196634 NJM196634 MZQ196634 MPU196634 MFY196634 LWC196634 LMG196634 LCK196634 KSO196634 KIS196634 JYW196634 JPA196634 JFE196634 IVI196634 ILM196634 IBQ196634 HRU196634 HHY196634 GYC196634 GOG196634 GEK196634 FUO196634 FKS196634 FAW196634 ERA196634 EHE196634 DXI196634 DNM196634 DDQ196634 CTU196634 CJY196634 CAC196634 BQG196634 BGK196634 AWO196634 AMS196634 ACW196634 TA196634 JE196634 I196634 WVQ131098 WLU131098 WBY131098 VSC131098 VIG131098 UYK131098 UOO131098 UES131098 TUW131098 TLA131098 TBE131098 SRI131098 SHM131098 RXQ131098 RNU131098 RDY131098 QUC131098 QKG131098 QAK131098 PQO131098 PGS131098 OWW131098 ONA131098 ODE131098 NTI131098 NJM131098 MZQ131098 MPU131098 MFY131098 LWC131098 LMG131098 LCK131098 KSO131098 KIS131098 JYW131098 JPA131098 JFE131098 IVI131098 ILM131098 IBQ131098 HRU131098 HHY131098 GYC131098 GOG131098 GEK131098 FUO131098 FKS131098 FAW131098 ERA131098 EHE131098 DXI131098 DNM131098 DDQ131098 CTU131098 CJY131098 CAC131098 BQG131098 BGK131098 AWO131098 AMS131098 ACW131098 TA131098 JE131098 I131098 WVQ65562 WLU65562 WBY65562 VSC65562 VIG65562 UYK65562 UOO65562 UES65562 TUW65562 TLA65562 TBE65562 SRI65562 SHM65562 RXQ65562 RNU65562 RDY65562 QUC65562 QKG65562 QAK65562 PQO65562 PGS65562 OWW65562 ONA65562 ODE65562 NTI65562 NJM65562 MZQ65562 MPU65562 MFY65562 LWC65562 LMG65562 LCK65562 KSO65562 KIS65562 JYW65562 JPA65562 JFE65562 IVI65562 ILM65562 IBQ65562 HRU65562 HHY65562 GYC65562 GOG65562 GEK65562 FUO65562 FKS65562 FAW65562 ERA65562 EHE65562 DXI65562 DNM65562 DDQ65562 CTU65562 CJY65562 CAC65562 BQG65562 BGK65562 AWO65562 AMS65562 ACW65562 TA65562 JE65562 I65562 WVQ26 WLU26 WBY26 VSC26 VIG26 UYK26 UOO26 UES26 TUW26 TLA26 TBE26 SRI26 SHM26 RXQ26 RNU26 RDY26 QUC26 QKG26 QAK26 PQO26 PGS26 OWW26 ONA26 ODE26 NTI26 NJM26 MZQ26 MPU26 MFY26 LWC26 LMG26 LCK26 KSO26 KIS26 JYW26 JPA26 JFE26 IVI26 ILM26 IBQ26 HRU26 HHY26 GYC26 GOG26 GEK26 FUO26 FKS26 FAW26 ERA26 EHE26 DXI26 DNM26 DDQ26 CTU26 CJY26 CAC26 BQG26 BGK26 AWO26 AMS26 ACW26 TA26 JE26" xr:uid="{DEC92959-52FE-470F-B42D-C736C70AB060}">
      <formula1>$AJ$26:$AJ$27</formula1>
    </dataValidation>
    <dataValidation type="list" allowBlank="1" showInputMessage="1" showErrorMessage="1" sqref="N26 WVY983066 WMC983066 WCG983066 VSK983066 VIO983066 UYS983066 UOW983066 UFA983066 TVE983066 TLI983066 TBM983066 SRQ983066 SHU983066 RXY983066 ROC983066 REG983066 QUK983066 QKO983066 QAS983066 PQW983066 PHA983066 OXE983066 ONI983066 ODM983066 NTQ983066 NJU983066 MZY983066 MQC983066 MGG983066 LWK983066 LMO983066 LCS983066 KSW983066 KJA983066 JZE983066 JPI983066 JFM983066 IVQ983066 ILU983066 IBY983066 HSC983066 HIG983066 GYK983066 GOO983066 GES983066 FUW983066 FLA983066 FBE983066 ERI983066 EHM983066 DXQ983066 DNU983066 DDY983066 CUC983066 CKG983066 CAK983066 BQO983066 BGS983066 AWW983066 ANA983066 ADE983066 TI983066 JM983066 Q983066 WVY917530 WMC917530 WCG917530 VSK917530 VIO917530 UYS917530 UOW917530 UFA917530 TVE917530 TLI917530 TBM917530 SRQ917530 SHU917530 RXY917530 ROC917530 REG917530 QUK917530 QKO917530 QAS917530 PQW917530 PHA917530 OXE917530 ONI917530 ODM917530 NTQ917530 NJU917530 MZY917530 MQC917530 MGG917530 LWK917530 LMO917530 LCS917530 KSW917530 KJA917530 JZE917530 JPI917530 JFM917530 IVQ917530 ILU917530 IBY917530 HSC917530 HIG917530 GYK917530 GOO917530 GES917530 FUW917530 FLA917530 FBE917530 ERI917530 EHM917530 DXQ917530 DNU917530 DDY917530 CUC917530 CKG917530 CAK917530 BQO917530 BGS917530 AWW917530 ANA917530 ADE917530 TI917530 JM917530 Q917530 WVY851994 WMC851994 WCG851994 VSK851994 VIO851994 UYS851994 UOW851994 UFA851994 TVE851994 TLI851994 TBM851994 SRQ851994 SHU851994 RXY851994 ROC851994 REG851994 QUK851994 QKO851994 QAS851994 PQW851994 PHA851994 OXE851994 ONI851994 ODM851994 NTQ851994 NJU851994 MZY851994 MQC851994 MGG851994 LWK851994 LMO851994 LCS851994 KSW851994 KJA851994 JZE851994 JPI851994 JFM851994 IVQ851994 ILU851994 IBY851994 HSC851994 HIG851994 GYK851994 GOO851994 GES851994 FUW851994 FLA851994 FBE851994 ERI851994 EHM851994 DXQ851994 DNU851994 DDY851994 CUC851994 CKG851994 CAK851994 BQO851994 BGS851994 AWW851994 ANA851994 ADE851994 TI851994 JM851994 Q851994 WVY786458 WMC786458 WCG786458 VSK786458 VIO786458 UYS786458 UOW786458 UFA786458 TVE786458 TLI786458 TBM786458 SRQ786458 SHU786458 RXY786458 ROC786458 REG786458 QUK786458 QKO786458 QAS786458 PQW786458 PHA786458 OXE786458 ONI786458 ODM786458 NTQ786458 NJU786458 MZY786458 MQC786458 MGG786458 LWK786458 LMO786458 LCS786458 KSW786458 KJA786458 JZE786458 JPI786458 JFM786458 IVQ786458 ILU786458 IBY786458 HSC786458 HIG786458 GYK786458 GOO786458 GES786458 FUW786458 FLA786458 FBE786458 ERI786458 EHM786458 DXQ786458 DNU786458 DDY786458 CUC786458 CKG786458 CAK786458 BQO786458 BGS786458 AWW786458 ANA786458 ADE786458 TI786458 JM786458 Q786458 WVY720922 WMC720922 WCG720922 VSK720922 VIO720922 UYS720922 UOW720922 UFA720922 TVE720922 TLI720922 TBM720922 SRQ720922 SHU720922 RXY720922 ROC720922 REG720922 QUK720922 QKO720922 QAS720922 PQW720922 PHA720922 OXE720922 ONI720922 ODM720922 NTQ720922 NJU720922 MZY720922 MQC720922 MGG720922 LWK720922 LMO720922 LCS720922 KSW720922 KJA720922 JZE720922 JPI720922 JFM720922 IVQ720922 ILU720922 IBY720922 HSC720922 HIG720922 GYK720922 GOO720922 GES720922 FUW720922 FLA720922 FBE720922 ERI720922 EHM720922 DXQ720922 DNU720922 DDY720922 CUC720922 CKG720922 CAK720922 BQO720922 BGS720922 AWW720922 ANA720922 ADE720922 TI720922 JM720922 Q720922 WVY655386 WMC655386 WCG655386 VSK655386 VIO655386 UYS655386 UOW655386 UFA655386 TVE655386 TLI655386 TBM655386 SRQ655386 SHU655386 RXY655386 ROC655386 REG655386 QUK655386 QKO655386 QAS655386 PQW655386 PHA655386 OXE655386 ONI655386 ODM655386 NTQ655386 NJU655386 MZY655386 MQC655386 MGG655386 LWK655386 LMO655386 LCS655386 KSW655386 KJA655386 JZE655386 JPI655386 JFM655386 IVQ655386 ILU655386 IBY655386 HSC655386 HIG655386 GYK655386 GOO655386 GES655386 FUW655386 FLA655386 FBE655386 ERI655386 EHM655386 DXQ655386 DNU655386 DDY655386 CUC655386 CKG655386 CAK655386 BQO655386 BGS655386 AWW655386 ANA655386 ADE655386 TI655386 JM655386 Q655386 WVY589850 WMC589850 WCG589850 VSK589850 VIO589850 UYS589850 UOW589850 UFA589850 TVE589850 TLI589850 TBM589850 SRQ589850 SHU589850 RXY589850 ROC589850 REG589850 QUK589850 QKO589850 QAS589850 PQW589850 PHA589850 OXE589850 ONI589850 ODM589850 NTQ589850 NJU589850 MZY589850 MQC589850 MGG589850 LWK589850 LMO589850 LCS589850 KSW589850 KJA589850 JZE589850 JPI589850 JFM589850 IVQ589850 ILU589850 IBY589850 HSC589850 HIG589850 GYK589850 GOO589850 GES589850 FUW589850 FLA589850 FBE589850 ERI589850 EHM589850 DXQ589850 DNU589850 DDY589850 CUC589850 CKG589850 CAK589850 BQO589850 BGS589850 AWW589850 ANA589850 ADE589850 TI589850 JM589850 Q589850 WVY524314 WMC524314 WCG524314 VSK524314 VIO524314 UYS524314 UOW524314 UFA524314 TVE524314 TLI524314 TBM524314 SRQ524314 SHU524314 RXY524314 ROC524314 REG524314 QUK524314 QKO524314 QAS524314 PQW524314 PHA524314 OXE524314 ONI524314 ODM524314 NTQ524314 NJU524314 MZY524314 MQC524314 MGG524314 LWK524314 LMO524314 LCS524314 KSW524314 KJA524314 JZE524314 JPI524314 JFM524314 IVQ524314 ILU524314 IBY524314 HSC524314 HIG524314 GYK524314 GOO524314 GES524314 FUW524314 FLA524314 FBE524314 ERI524314 EHM524314 DXQ524314 DNU524314 DDY524314 CUC524314 CKG524314 CAK524314 BQO524314 BGS524314 AWW524314 ANA524314 ADE524314 TI524314 JM524314 Q524314 WVY458778 WMC458778 WCG458778 VSK458778 VIO458778 UYS458778 UOW458778 UFA458778 TVE458778 TLI458778 TBM458778 SRQ458778 SHU458778 RXY458778 ROC458778 REG458778 QUK458778 QKO458778 QAS458778 PQW458778 PHA458778 OXE458778 ONI458778 ODM458778 NTQ458778 NJU458778 MZY458778 MQC458778 MGG458778 LWK458778 LMO458778 LCS458778 KSW458778 KJA458778 JZE458778 JPI458778 JFM458778 IVQ458778 ILU458778 IBY458778 HSC458778 HIG458778 GYK458778 GOO458778 GES458778 FUW458778 FLA458778 FBE458778 ERI458778 EHM458778 DXQ458778 DNU458778 DDY458778 CUC458778 CKG458778 CAK458778 BQO458778 BGS458778 AWW458778 ANA458778 ADE458778 TI458778 JM458778 Q458778 WVY393242 WMC393242 WCG393242 VSK393242 VIO393242 UYS393242 UOW393242 UFA393242 TVE393242 TLI393242 TBM393242 SRQ393242 SHU393242 RXY393242 ROC393242 REG393242 QUK393242 QKO393242 QAS393242 PQW393242 PHA393242 OXE393242 ONI393242 ODM393242 NTQ393242 NJU393242 MZY393242 MQC393242 MGG393242 LWK393242 LMO393242 LCS393242 KSW393242 KJA393242 JZE393242 JPI393242 JFM393242 IVQ393242 ILU393242 IBY393242 HSC393242 HIG393242 GYK393242 GOO393242 GES393242 FUW393242 FLA393242 FBE393242 ERI393242 EHM393242 DXQ393242 DNU393242 DDY393242 CUC393242 CKG393242 CAK393242 BQO393242 BGS393242 AWW393242 ANA393242 ADE393242 TI393242 JM393242 Q393242 WVY327706 WMC327706 WCG327706 VSK327706 VIO327706 UYS327706 UOW327706 UFA327706 TVE327706 TLI327706 TBM327706 SRQ327706 SHU327706 RXY327706 ROC327706 REG327706 QUK327706 QKO327706 QAS327706 PQW327706 PHA327706 OXE327706 ONI327706 ODM327706 NTQ327706 NJU327706 MZY327706 MQC327706 MGG327706 LWK327706 LMO327706 LCS327706 KSW327706 KJA327706 JZE327706 JPI327706 JFM327706 IVQ327706 ILU327706 IBY327706 HSC327706 HIG327706 GYK327706 GOO327706 GES327706 FUW327706 FLA327706 FBE327706 ERI327706 EHM327706 DXQ327706 DNU327706 DDY327706 CUC327706 CKG327706 CAK327706 BQO327706 BGS327706 AWW327706 ANA327706 ADE327706 TI327706 JM327706 Q327706 WVY262170 WMC262170 WCG262170 VSK262170 VIO262170 UYS262170 UOW262170 UFA262170 TVE262170 TLI262170 TBM262170 SRQ262170 SHU262170 RXY262170 ROC262170 REG262170 QUK262170 QKO262170 QAS262170 PQW262170 PHA262170 OXE262170 ONI262170 ODM262170 NTQ262170 NJU262170 MZY262170 MQC262170 MGG262170 LWK262170 LMO262170 LCS262170 KSW262170 KJA262170 JZE262170 JPI262170 JFM262170 IVQ262170 ILU262170 IBY262170 HSC262170 HIG262170 GYK262170 GOO262170 GES262170 FUW262170 FLA262170 FBE262170 ERI262170 EHM262170 DXQ262170 DNU262170 DDY262170 CUC262170 CKG262170 CAK262170 BQO262170 BGS262170 AWW262170 ANA262170 ADE262170 TI262170 JM262170 Q262170 WVY196634 WMC196634 WCG196634 VSK196634 VIO196634 UYS196634 UOW196634 UFA196634 TVE196634 TLI196634 TBM196634 SRQ196634 SHU196634 RXY196634 ROC196634 REG196634 QUK196634 QKO196634 QAS196634 PQW196634 PHA196634 OXE196634 ONI196634 ODM196634 NTQ196634 NJU196634 MZY196634 MQC196634 MGG196634 LWK196634 LMO196634 LCS196634 KSW196634 KJA196634 JZE196634 JPI196634 JFM196634 IVQ196634 ILU196634 IBY196634 HSC196634 HIG196634 GYK196634 GOO196634 GES196634 FUW196634 FLA196634 FBE196634 ERI196634 EHM196634 DXQ196634 DNU196634 DDY196634 CUC196634 CKG196634 CAK196634 BQO196634 BGS196634 AWW196634 ANA196634 ADE196634 TI196634 JM196634 Q196634 WVY131098 WMC131098 WCG131098 VSK131098 VIO131098 UYS131098 UOW131098 UFA131098 TVE131098 TLI131098 TBM131098 SRQ131098 SHU131098 RXY131098 ROC131098 REG131098 QUK131098 QKO131098 QAS131098 PQW131098 PHA131098 OXE131098 ONI131098 ODM131098 NTQ131098 NJU131098 MZY131098 MQC131098 MGG131098 LWK131098 LMO131098 LCS131098 KSW131098 KJA131098 JZE131098 JPI131098 JFM131098 IVQ131098 ILU131098 IBY131098 HSC131098 HIG131098 GYK131098 GOO131098 GES131098 FUW131098 FLA131098 FBE131098 ERI131098 EHM131098 DXQ131098 DNU131098 DDY131098 CUC131098 CKG131098 CAK131098 BQO131098 BGS131098 AWW131098 ANA131098 ADE131098 TI131098 JM131098 Q131098 WVY65562 WMC65562 WCG65562 VSK65562 VIO65562 UYS65562 UOW65562 UFA65562 TVE65562 TLI65562 TBM65562 SRQ65562 SHU65562 RXY65562 ROC65562 REG65562 QUK65562 QKO65562 QAS65562 PQW65562 PHA65562 OXE65562 ONI65562 ODM65562 NTQ65562 NJU65562 MZY65562 MQC65562 MGG65562 LWK65562 LMO65562 LCS65562 KSW65562 KJA65562 JZE65562 JPI65562 JFM65562 IVQ65562 ILU65562 IBY65562 HSC65562 HIG65562 GYK65562 GOO65562 GES65562 FUW65562 FLA65562 FBE65562 ERI65562 EHM65562 DXQ65562 DNU65562 DDY65562 CUC65562 CKG65562 CAK65562 BQO65562 BGS65562 AWW65562 ANA65562 ADE65562 TI65562 JM65562 Q65562 WVY26 WMC26 WCG26 VSK26 VIO26 UYS26 UOW26 UFA26 TVE26 TLI26 TBM26 SRQ26 SHU26 RXY26 ROC26 REG26 QUK26 QKO26 QAS26 PQW26 PHA26 OXE26 ONI26 ODM26 NTQ26 NJU26 MZY26 MQC26 MGG26 LWK26 LMO26 LCS26 KSW26 KJA26 JZE26 JPI26 JFM26 IVQ26 ILU26 IBY26 HSC26 HIG26 GYK26 GOO26 GES26 FUW26 FLA26 FBE26 ERI26 EHM26 DXQ26 DNU26 DDY26 CUC26 CKG26 CAK26 BQO26 BGS26 AWW26 ANA26 ADE26 TI26 JM26 Q26 WVV983068 WLZ983068 WCD983068 VSH983068 VIL983068 UYP983068 UOT983068 UEX983068 TVB983068 TLF983068 TBJ983068 SRN983068 SHR983068 RXV983068 RNZ983068 RED983068 QUH983068 QKL983068 QAP983068 PQT983068 PGX983068 OXB983068 ONF983068 ODJ983068 NTN983068 NJR983068 MZV983068 MPZ983068 MGD983068 LWH983068 LML983068 LCP983068 KST983068 KIX983068 JZB983068 JPF983068 JFJ983068 IVN983068 ILR983068 IBV983068 HRZ983068 HID983068 GYH983068 GOL983068 GEP983068 FUT983068 FKX983068 FBB983068 ERF983068 EHJ983068 DXN983068 DNR983068 DDV983068 CTZ983068 CKD983068 CAH983068 BQL983068 BGP983068 AWT983068 AMX983068 ADB983068 TF983068 JJ983068 N983068 WVV917532 WLZ917532 WCD917532 VSH917532 VIL917532 UYP917532 UOT917532 UEX917532 TVB917532 TLF917532 TBJ917532 SRN917532 SHR917532 RXV917532 RNZ917532 RED917532 QUH917532 QKL917532 QAP917532 PQT917532 PGX917532 OXB917532 ONF917532 ODJ917532 NTN917532 NJR917532 MZV917532 MPZ917532 MGD917532 LWH917532 LML917532 LCP917532 KST917532 KIX917532 JZB917532 JPF917532 JFJ917532 IVN917532 ILR917532 IBV917532 HRZ917532 HID917532 GYH917532 GOL917532 GEP917532 FUT917532 FKX917532 FBB917532 ERF917532 EHJ917532 DXN917532 DNR917532 DDV917532 CTZ917532 CKD917532 CAH917532 BQL917532 BGP917532 AWT917532 AMX917532 ADB917532 TF917532 JJ917532 N917532 WVV851996 WLZ851996 WCD851996 VSH851996 VIL851996 UYP851996 UOT851996 UEX851996 TVB851996 TLF851996 TBJ851996 SRN851996 SHR851996 RXV851996 RNZ851996 RED851996 QUH851996 QKL851996 QAP851996 PQT851996 PGX851996 OXB851996 ONF851996 ODJ851996 NTN851996 NJR851996 MZV851996 MPZ851996 MGD851996 LWH851996 LML851996 LCP851996 KST851996 KIX851996 JZB851996 JPF851996 JFJ851996 IVN851996 ILR851996 IBV851996 HRZ851996 HID851996 GYH851996 GOL851996 GEP851996 FUT851996 FKX851996 FBB851996 ERF851996 EHJ851996 DXN851996 DNR851996 DDV851996 CTZ851996 CKD851996 CAH851996 BQL851996 BGP851996 AWT851996 AMX851996 ADB851996 TF851996 JJ851996 N851996 WVV786460 WLZ786460 WCD786460 VSH786460 VIL786460 UYP786460 UOT786460 UEX786460 TVB786460 TLF786460 TBJ786460 SRN786460 SHR786460 RXV786460 RNZ786460 RED786460 QUH786460 QKL786460 QAP786460 PQT786460 PGX786460 OXB786460 ONF786460 ODJ786460 NTN786460 NJR786460 MZV786460 MPZ786460 MGD786460 LWH786460 LML786460 LCP786460 KST786460 KIX786460 JZB786460 JPF786460 JFJ786460 IVN786460 ILR786460 IBV786460 HRZ786460 HID786460 GYH786460 GOL786460 GEP786460 FUT786460 FKX786460 FBB786460 ERF786460 EHJ786460 DXN786460 DNR786460 DDV786460 CTZ786460 CKD786460 CAH786460 BQL786460 BGP786460 AWT786460 AMX786460 ADB786460 TF786460 JJ786460 N786460 WVV720924 WLZ720924 WCD720924 VSH720924 VIL720924 UYP720924 UOT720924 UEX720924 TVB720924 TLF720924 TBJ720924 SRN720924 SHR720924 RXV720924 RNZ720924 RED720924 QUH720924 QKL720924 QAP720924 PQT720924 PGX720924 OXB720924 ONF720924 ODJ720924 NTN720924 NJR720924 MZV720924 MPZ720924 MGD720924 LWH720924 LML720924 LCP720924 KST720924 KIX720924 JZB720924 JPF720924 JFJ720924 IVN720924 ILR720924 IBV720924 HRZ720924 HID720924 GYH720924 GOL720924 GEP720924 FUT720924 FKX720924 FBB720924 ERF720924 EHJ720924 DXN720924 DNR720924 DDV720924 CTZ720924 CKD720924 CAH720924 BQL720924 BGP720924 AWT720924 AMX720924 ADB720924 TF720924 JJ720924 N720924 WVV655388 WLZ655388 WCD655388 VSH655388 VIL655388 UYP655388 UOT655388 UEX655388 TVB655388 TLF655388 TBJ655388 SRN655388 SHR655388 RXV655388 RNZ655388 RED655388 QUH655388 QKL655388 QAP655388 PQT655388 PGX655388 OXB655388 ONF655388 ODJ655388 NTN655388 NJR655388 MZV655388 MPZ655388 MGD655388 LWH655388 LML655388 LCP655388 KST655388 KIX655388 JZB655388 JPF655388 JFJ655388 IVN655388 ILR655388 IBV655388 HRZ655388 HID655388 GYH655388 GOL655388 GEP655388 FUT655388 FKX655388 FBB655388 ERF655388 EHJ655388 DXN655388 DNR655388 DDV655388 CTZ655388 CKD655388 CAH655388 BQL655388 BGP655388 AWT655388 AMX655388 ADB655388 TF655388 JJ655388 N655388 WVV589852 WLZ589852 WCD589852 VSH589852 VIL589852 UYP589852 UOT589852 UEX589852 TVB589852 TLF589852 TBJ589852 SRN589852 SHR589852 RXV589852 RNZ589852 RED589852 QUH589852 QKL589852 QAP589852 PQT589852 PGX589852 OXB589852 ONF589852 ODJ589852 NTN589852 NJR589852 MZV589852 MPZ589852 MGD589852 LWH589852 LML589852 LCP589852 KST589852 KIX589852 JZB589852 JPF589852 JFJ589852 IVN589852 ILR589852 IBV589852 HRZ589852 HID589852 GYH589852 GOL589852 GEP589852 FUT589852 FKX589852 FBB589852 ERF589852 EHJ589852 DXN589852 DNR589852 DDV589852 CTZ589852 CKD589852 CAH589852 BQL589852 BGP589852 AWT589852 AMX589852 ADB589852 TF589852 JJ589852 N589852 WVV524316 WLZ524316 WCD524316 VSH524316 VIL524316 UYP524316 UOT524316 UEX524316 TVB524316 TLF524316 TBJ524316 SRN524316 SHR524316 RXV524316 RNZ524316 RED524316 QUH524316 QKL524316 QAP524316 PQT524316 PGX524316 OXB524316 ONF524316 ODJ524316 NTN524316 NJR524316 MZV524316 MPZ524316 MGD524316 LWH524316 LML524316 LCP524316 KST524316 KIX524316 JZB524316 JPF524316 JFJ524316 IVN524316 ILR524316 IBV524316 HRZ524316 HID524316 GYH524316 GOL524316 GEP524316 FUT524316 FKX524316 FBB524316 ERF524316 EHJ524316 DXN524316 DNR524316 DDV524316 CTZ524316 CKD524316 CAH524316 BQL524316 BGP524316 AWT524316 AMX524316 ADB524316 TF524316 JJ524316 N524316 WVV458780 WLZ458780 WCD458780 VSH458780 VIL458780 UYP458780 UOT458780 UEX458780 TVB458780 TLF458780 TBJ458780 SRN458780 SHR458780 RXV458780 RNZ458780 RED458780 QUH458780 QKL458780 QAP458780 PQT458780 PGX458780 OXB458780 ONF458780 ODJ458780 NTN458780 NJR458780 MZV458780 MPZ458780 MGD458780 LWH458780 LML458780 LCP458780 KST458780 KIX458780 JZB458780 JPF458780 JFJ458780 IVN458780 ILR458780 IBV458780 HRZ458780 HID458780 GYH458780 GOL458780 GEP458780 FUT458780 FKX458780 FBB458780 ERF458780 EHJ458780 DXN458780 DNR458780 DDV458780 CTZ458780 CKD458780 CAH458780 BQL458780 BGP458780 AWT458780 AMX458780 ADB458780 TF458780 JJ458780 N458780 WVV393244 WLZ393244 WCD393244 VSH393244 VIL393244 UYP393244 UOT393244 UEX393244 TVB393244 TLF393244 TBJ393244 SRN393244 SHR393244 RXV393244 RNZ393244 RED393244 QUH393244 QKL393244 QAP393244 PQT393244 PGX393244 OXB393244 ONF393244 ODJ393244 NTN393244 NJR393244 MZV393244 MPZ393244 MGD393244 LWH393244 LML393244 LCP393244 KST393244 KIX393244 JZB393244 JPF393244 JFJ393244 IVN393244 ILR393244 IBV393244 HRZ393244 HID393244 GYH393244 GOL393244 GEP393244 FUT393244 FKX393244 FBB393244 ERF393244 EHJ393244 DXN393244 DNR393244 DDV393244 CTZ393244 CKD393244 CAH393244 BQL393244 BGP393244 AWT393244 AMX393244 ADB393244 TF393244 JJ393244 N393244 WVV327708 WLZ327708 WCD327708 VSH327708 VIL327708 UYP327708 UOT327708 UEX327708 TVB327708 TLF327708 TBJ327708 SRN327708 SHR327708 RXV327708 RNZ327708 RED327708 QUH327708 QKL327708 QAP327708 PQT327708 PGX327708 OXB327708 ONF327708 ODJ327708 NTN327708 NJR327708 MZV327708 MPZ327708 MGD327708 LWH327708 LML327708 LCP327708 KST327708 KIX327708 JZB327708 JPF327708 JFJ327708 IVN327708 ILR327708 IBV327708 HRZ327708 HID327708 GYH327708 GOL327708 GEP327708 FUT327708 FKX327708 FBB327708 ERF327708 EHJ327708 DXN327708 DNR327708 DDV327708 CTZ327708 CKD327708 CAH327708 BQL327708 BGP327708 AWT327708 AMX327708 ADB327708 TF327708 JJ327708 N327708 WVV262172 WLZ262172 WCD262172 VSH262172 VIL262172 UYP262172 UOT262172 UEX262172 TVB262172 TLF262172 TBJ262172 SRN262172 SHR262172 RXV262172 RNZ262172 RED262172 QUH262172 QKL262172 QAP262172 PQT262172 PGX262172 OXB262172 ONF262172 ODJ262172 NTN262172 NJR262172 MZV262172 MPZ262172 MGD262172 LWH262172 LML262172 LCP262172 KST262172 KIX262172 JZB262172 JPF262172 JFJ262172 IVN262172 ILR262172 IBV262172 HRZ262172 HID262172 GYH262172 GOL262172 GEP262172 FUT262172 FKX262172 FBB262172 ERF262172 EHJ262172 DXN262172 DNR262172 DDV262172 CTZ262172 CKD262172 CAH262172 BQL262172 BGP262172 AWT262172 AMX262172 ADB262172 TF262172 JJ262172 N262172 WVV196636 WLZ196636 WCD196636 VSH196636 VIL196636 UYP196636 UOT196636 UEX196636 TVB196636 TLF196636 TBJ196636 SRN196636 SHR196636 RXV196636 RNZ196636 RED196636 QUH196636 QKL196636 QAP196636 PQT196636 PGX196636 OXB196636 ONF196636 ODJ196636 NTN196636 NJR196636 MZV196636 MPZ196636 MGD196636 LWH196636 LML196636 LCP196636 KST196636 KIX196636 JZB196636 JPF196636 JFJ196636 IVN196636 ILR196636 IBV196636 HRZ196636 HID196636 GYH196636 GOL196636 GEP196636 FUT196636 FKX196636 FBB196636 ERF196636 EHJ196636 DXN196636 DNR196636 DDV196636 CTZ196636 CKD196636 CAH196636 BQL196636 BGP196636 AWT196636 AMX196636 ADB196636 TF196636 JJ196636 N196636 WVV131100 WLZ131100 WCD131100 VSH131100 VIL131100 UYP131100 UOT131100 UEX131100 TVB131100 TLF131100 TBJ131100 SRN131100 SHR131100 RXV131100 RNZ131100 RED131100 QUH131100 QKL131100 QAP131100 PQT131100 PGX131100 OXB131100 ONF131100 ODJ131100 NTN131100 NJR131100 MZV131100 MPZ131100 MGD131100 LWH131100 LML131100 LCP131100 KST131100 KIX131100 JZB131100 JPF131100 JFJ131100 IVN131100 ILR131100 IBV131100 HRZ131100 HID131100 GYH131100 GOL131100 GEP131100 FUT131100 FKX131100 FBB131100 ERF131100 EHJ131100 DXN131100 DNR131100 DDV131100 CTZ131100 CKD131100 CAH131100 BQL131100 BGP131100 AWT131100 AMX131100 ADB131100 TF131100 JJ131100 N131100 WVV65564 WLZ65564 WCD65564 VSH65564 VIL65564 UYP65564 UOT65564 UEX65564 TVB65564 TLF65564 TBJ65564 SRN65564 SHR65564 RXV65564 RNZ65564 RED65564 QUH65564 QKL65564 QAP65564 PQT65564 PGX65564 OXB65564 ONF65564 ODJ65564 NTN65564 NJR65564 MZV65564 MPZ65564 MGD65564 LWH65564 LML65564 LCP65564 KST65564 KIX65564 JZB65564 JPF65564 JFJ65564 IVN65564 ILR65564 IBV65564 HRZ65564 HID65564 GYH65564 GOL65564 GEP65564 FUT65564 FKX65564 FBB65564 ERF65564 EHJ65564 DXN65564 DNR65564 DDV65564 CTZ65564 CKD65564 CAH65564 BQL65564 BGP65564 AWT65564 AMX65564 ADB65564 TF65564 JJ65564 N65564 WVV28 WLZ28 WCD28 VSH28 VIL28 UYP28 UOT28 UEX28 TVB28 TLF28 TBJ28 SRN28 SHR28 RXV28 RNZ28 RED28 QUH28 QKL28 QAP28 PQT28 PGX28 OXB28 ONF28 ODJ28 NTN28 NJR28 MZV28 MPZ28 MGD28 LWH28 LML28 LCP28 KST28 KIX28 JZB28 JPF28 JFJ28 IVN28 ILR28 IBV28 HRZ28 HID28 GYH28 GOL28 GEP28 FUT28 FKX28 FBB28 ERF28 EHJ28 DXN28 DNR28 DDV28 CTZ28 CKD28 CAH28 BQL28 BGP28 AWT28 AMX28 ADB28 TF28 JJ28 N28 WVY983068 WMC983068 WCG983068 VSK983068 VIO983068 UYS983068 UOW983068 UFA983068 TVE983068 TLI983068 TBM983068 SRQ983068 SHU983068 RXY983068 ROC983068 REG983068 QUK983068 QKO983068 QAS983068 PQW983068 PHA983068 OXE983068 ONI983068 ODM983068 NTQ983068 NJU983068 MZY983068 MQC983068 MGG983068 LWK983068 LMO983068 LCS983068 KSW983068 KJA983068 JZE983068 JPI983068 JFM983068 IVQ983068 ILU983068 IBY983068 HSC983068 HIG983068 GYK983068 GOO983068 GES983068 FUW983068 FLA983068 FBE983068 ERI983068 EHM983068 DXQ983068 DNU983068 DDY983068 CUC983068 CKG983068 CAK983068 BQO983068 BGS983068 AWW983068 ANA983068 ADE983068 TI983068 JM983068 Q983068 WVY917532 WMC917532 WCG917532 VSK917532 VIO917532 UYS917532 UOW917532 UFA917532 TVE917532 TLI917532 TBM917532 SRQ917532 SHU917532 RXY917532 ROC917532 REG917532 QUK917532 QKO917532 QAS917532 PQW917532 PHA917532 OXE917532 ONI917532 ODM917532 NTQ917532 NJU917532 MZY917532 MQC917532 MGG917532 LWK917532 LMO917532 LCS917532 KSW917532 KJA917532 JZE917532 JPI917532 JFM917532 IVQ917532 ILU917532 IBY917532 HSC917532 HIG917532 GYK917532 GOO917532 GES917532 FUW917532 FLA917532 FBE917532 ERI917532 EHM917532 DXQ917532 DNU917532 DDY917532 CUC917532 CKG917532 CAK917532 BQO917532 BGS917532 AWW917532 ANA917532 ADE917532 TI917532 JM917532 Q917532 WVY851996 WMC851996 WCG851996 VSK851996 VIO851996 UYS851996 UOW851996 UFA851996 TVE851996 TLI851996 TBM851996 SRQ851996 SHU851996 RXY851996 ROC851996 REG851996 QUK851996 QKO851996 QAS851996 PQW851996 PHA851996 OXE851996 ONI851996 ODM851996 NTQ851996 NJU851996 MZY851996 MQC851996 MGG851996 LWK851996 LMO851996 LCS851996 KSW851996 KJA851996 JZE851996 JPI851996 JFM851996 IVQ851996 ILU851996 IBY851996 HSC851996 HIG851996 GYK851996 GOO851996 GES851996 FUW851996 FLA851996 FBE851996 ERI851996 EHM851996 DXQ851996 DNU851996 DDY851996 CUC851996 CKG851996 CAK851996 BQO851996 BGS851996 AWW851996 ANA851996 ADE851996 TI851996 JM851996 Q851996 WVY786460 WMC786460 WCG786460 VSK786460 VIO786460 UYS786460 UOW786460 UFA786460 TVE786460 TLI786460 TBM786460 SRQ786460 SHU786460 RXY786460 ROC786460 REG786460 QUK786460 QKO786460 QAS786460 PQW786460 PHA786460 OXE786460 ONI786460 ODM786460 NTQ786460 NJU786460 MZY786460 MQC786460 MGG786460 LWK786460 LMO786460 LCS786460 KSW786460 KJA786460 JZE786460 JPI786460 JFM786460 IVQ786460 ILU786460 IBY786460 HSC786460 HIG786460 GYK786460 GOO786460 GES786460 FUW786460 FLA786460 FBE786460 ERI786460 EHM786460 DXQ786460 DNU786460 DDY786460 CUC786460 CKG786460 CAK786460 BQO786460 BGS786460 AWW786460 ANA786460 ADE786460 TI786460 JM786460 Q786460 WVY720924 WMC720924 WCG720924 VSK720924 VIO720924 UYS720924 UOW720924 UFA720924 TVE720924 TLI720924 TBM720924 SRQ720924 SHU720924 RXY720924 ROC720924 REG720924 QUK720924 QKO720924 QAS720924 PQW720924 PHA720924 OXE720924 ONI720924 ODM720924 NTQ720924 NJU720924 MZY720924 MQC720924 MGG720924 LWK720924 LMO720924 LCS720924 KSW720924 KJA720924 JZE720924 JPI720924 JFM720924 IVQ720924 ILU720924 IBY720924 HSC720924 HIG720924 GYK720924 GOO720924 GES720924 FUW720924 FLA720924 FBE720924 ERI720924 EHM720924 DXQ720924 DNU720924 DDY720924 CUC720924 CKG720924 CAK720924 BQO720924 BGS720924 AWW720924 ANA720924 ADE720924 TI720924 JM720924 Q720924 WVY655388 WMC655388 WCG655388 VSK655388 VIO655388 UYS655388 UOW655388 UFA655388 TVE655388 TLI655388 TBM655388 SRQ655388 SHU655388 RXY655388 ROC655388 REG655388 QUK655388 QKO655388 QAS655388 PQW655388 PHA655388 OXE655388 ONI655388 ODM655388 NTQ655388 NJU655388 MZY655388 MQC655388 MGG655388 LWK655388 LMO655388 LCS655388 KSW655388 KJA655388 JZE655388 JPI655388 JFM655388 IVQ655388 ILU655388 IBY655388 HSC655388 HIG655388 GYK655388 GOO655388 GES655388 FUW655388 FLA655388 FBE655388 ERI655388 EHM655388 DXQ655388 DNU655388 DDY655388 CUC655388 CKG655388 CAK655388 BQO655388 BGS655388 AWW655388 ANA655388 ADE655388 TI655388 JM655388 Q655388 WVY589852 WMC589852 WCG589852 VSK589852 VIO589852 UYS589852 UOW589852 UFA589852 TVE589852 TLI589852 TBM589852 SRQ589852 SHU589852 RXY589852 ROC589852 REG589852 QUK589852 QKO589852 QAS589852 PQW589852 PHA589852 OXE589852 ONI589852 ODM589852 NTQ589852 NJU589852 MZY589852 MQC589852 MGG589852 LWK589852 LMO589852 LCS589852 KSW589852 KJA589852 JZE589852 JPI589852 JFM589852 IVQ589852 ILU589852 IBY589852 HSC589852 HIG589852 GYK589852 GOO589852 GES589852 FUW589852 FLA589852 FBE589852 ERI589852 EHM589852 DXQ589852 DNU589852 DDY589852 CUC589852 CKG589852 CAK589852 BQO589852 BGS589852 AWW589852 ANA589852 ADE589852 TI589852 JM589852 Q589852 WVY524316 WMC524316 WCG524316 VSK524316 VIO524316 UYS524316 UOW524316 UFA524316 TVE524316 TLI524316 TBM524316 SRQ524316 SHU524316 RXY524316 ROC524316 REG524316 QUK524316 QKO524316 QAS524316 PQW524316 PHA524316 OXE524316 ONI524316 ODM524316 NTQ524316 NJU524316 MZY524316 MQC524316 MGG524316 LWK524316 LMO524316 LCS524316 KSW524316 KJA524316 JZE524316 JPI524316 JFM524316 IVQ524316 ILU524316 IBY524316 HSC524316 HIG524316 GYK524316 GOO524316 GES524316 FUW524316 FLA524316 FBE524316 ERI524316 EHM524316 DXQ524316 DNU524316 DDY524316 CUC524316 CKG524316 CAK524316 BQO524316 BGS524316 AWW524316 ANA524316 ADE524316 TI524316 JM524316 Q524316 WVY458780 WMC458780 WCG458780 VSK458780 VIO458780 UYS458780 UOW458780 UFA458780 TVE458780 TLI458780 TBM458780 SRQ458780 SHU458780 RXY458780 ROC458780 REG458780 QUK458780 QKO458780 QAS458780 PQW458780 PHA458780 OXE458780 ONI458780 ODM458780 NTQ458780 NJU458780 MZY458780 MQC458780 MGG458780 LWK458780 LMO458780 LCS458780 KSW458780 KJA458780 JZE458780 JPI458780 JFM458780 IVQ458780 ILU458780 IBY458780 HSC458780 HIG458780 GYK458780 GOO458780 GES458780 FUW458780 FLA458780 FBE458780 ERI458780 EHM458780 DXQ458780 DNU458780 DDY458780 CUC458780 CKG458780 CAK458780 BQO458780 BGS458780 AWW458780 ANA458780 ADE458780 TI458780 JM458780 Q458780 WVY393244 WMC393244 WCG393244 VSK393244 VIO393244 UYS393244 UOW393244 UFA393244 TVE393244 TLI393244 TBM393244 SRQ393244 SHU393244 RXY393244 ROC393244 REG393244 QUK393244 QKO393244 QAS393244 PQW393244 PHA393244 OXE393244 ONI393244 ODM393244 NTQ393244 NJU393244 MZY393244 MQC393244 MGG393244 LWK393244 LMO393244 LCS393244 KSW393244 KJA393244 JZE393244 JPI393244 JFM393244 IVQ393244 ILU393244 IBY393244 HSC393244 HIG393244 GYK393244 GOO393244 GES393244 FUW393244 FLA393244 FBE393244 ERI393244 EHM393244 DXQ393244 DNU393244 DDY393244 CUC393244 CKG393244 CAK393244 BQO393244 BGS393244 AWW393244 ANA393244 ADE393244 TI393244 JM393244 Q393244 WVY327708 WMC327708 WCG327708 VSK327708 VIO327708 UYS327708 UOW327708 UFA327708 TVE327708 TLI327708 TBM327708 SRQ327708 SHU327708 RXY327708 ROC327708 REG327708 QUK327708 QKO327708 QAS327708 PQW327708 PHA327708 OXE327708 ONI327708 ODM327708 NTQ327708 NJU327708 MZY327708 MQC327708 MGG327708 LWK327708 LMO327708 LCS327708 KSW327708 KJA327708 JZE327708 JPI327708 JFM327708 IVQ327708 ILU327708 IBY327708 HSC327708 HIG327708 GYK327708 GOO327708 GES327708 FUW327708 FLA327708 FBE327708 ERI327708 EHM327708 DXQ327708 DNU327708 DDY327708 CUC327708 CKG327708 CAK327708 BQO327708 BGS327708 AWW327708 ANA327708 ADE327708 TI327708 JM327708 Q327708 WVY262172 WMC262172 WCG262172 VSK262172 VIO262172 UYS262172 UOW262172 UFA262172 TVE262172 TLI262172 TBM262172 SRQ262172 SHU262172 RXY262172 ROC262172 REG262172 QUK262172 QKO262172 QAS262172 PQW262172 PHA262172 OXE262172 ONI262172 ODM262172 NTQ262172 NJU262172 MZY262172 MQC262172 MGG262172 LWK262172 LMO262172 LCS262172 KSW262172 KJA262172 JZE262172 JPI262172 JFM262172 IVQ262172 ILU262172 IBY262172 HSC262172 HIG262172 GYK262172 GOO262172 GES262172 FUW262172 FLA262172 FBE262172 ERI262172 EHM262172 DXQ262172 DNU262172 DDY262172 CUC262172 CKG262172 CAK262172 BQO262172 BGS262172 AWW262172 ANA262172 ADE262172 TI262172 JM262172 Q262172 WVY196636 WMC196636 WCG196636 VSK196636 VIO196636 UYS196636 UOW196636 UFA196636 TVE196636 TLI196636 TBM196636 SRQ196636 SHU196636 RXY196636 ROC196636 REG196636 QUK196636 QKO196636 QAS196636 PQW196636 PHA196636 OXE196636 ONI196636 ODM196636 NTQ196636 NJU196636 MZY196636 MQC196636 MGG196636 LWK196636 LMO196636 LCS196636 KSW196636 KJA196636 JZE196636 JPI196636 JFM196636 IVQ196636 ILU196636 IBY196636 HSC196636 HIG196636 GYK196636 GOO196636 GES196636 FUW196636 FLA196636 FBE196636 ERI196636 EHM196636 DXQ196636 DNU196636 DDY196636 CUC196636 CKG196636 CAK196636 BQO196636 BGS196636 AWW196636 ANA196636 ADE196636 TI196636 JM196636 Q196636 WVY131100 WMC131100 WCG131100 VSK131100 VIO131100 UYS131100 UOW131100 UFA131100 TVE131100 TLI131100 TBM131100 SRQ131100 SHU131100 RXY131100 ROC131100 REG131100 QUK131100 QKO131100 QAS131100 PQW131100 PHA131100 OXE131100 ONI131100 ODM131100 NTQ131100 NJU131100 MZY131100 MQC131100 MGG131100 LWK131100 LMO131100 LCS131100 KSW131100 KJA131100 JZE131100 JPI131100 JFM131100 IVQ131100 ILU131100 IBY131100 HSC131100 HIG131100 GYK131100 GOO131100 GES131100 FUW131100 FLA131100 FBE131100 ERI131100 EHM131100 DXQ131100 DNU131100 DDY131100 CUC131100 CKG131100 CAK131100 BQO131100 BGS131100 AWW131100 ANA131100 ADE131100 TI131100 JM131100 Q131100 WVY65564 WMC65564 WCG65564 VSK65564 VIO65564 UYS65564 UOW65564 UFA65564 TVE65564 TLI65564 TBM65564 SRQ65564 SHU65564 RXY65564 ROC65564 REG65564 QUK65564 QKO65564 QAS65564 PQW65564 PHA65564 OXE65564 ONI65564 ODM65564 NTQ65564 NJU65564 MZY65564 MQC65564 MGG65564 LWK65564 LMO65564 LCS65564 KSW65564 KJA65564 JZE65564 JPI65564 JFM65564 IVQ65564 ILU65564 IBY65564 HSC65564 HIG65564 GYK65564 GOO65564 GES65564 FUW65564 FLA65564 FBE65564 ERI65564 EHM65564 DXQ65564 DNU65564 DDY65564 CUC65564 CKG65564 CAK65564 BQO65564 BGS65564 AWW65564 ANA65564 ADE65564 TI65564 JM65564 Q65564 WVY28 WMC28 WCG28 VSK28 VIO28 UYS28 UOW28 UFA28 TVE28 TLI28 TBM28 SRQ28 SHU28 RXY28 ROC28 REG28 QUK28 QKO28 QAS28 PQW28 PHA28 OXE28 ONI28 ODM28 NTQ28 NJU28 MZY28 MQC28 MGG28 LWK28 LMO28 LCS28 KSW28 KJA28 JZE28 JPI28 JFM28 IVQ28 ILU28 IBY28 HSC28 HIG28 GYK28 GOO28 GES28 FUW28 FLA28 FBE28 ERI28 EHM28 DXQ28 DNU28 DDY28 CUC28 CKG28 CAK28 BQO28 BGS28 AWW28 ANA28 ADE28 TI28 JM28 Q28 WVY983070 WMC983070 WCG983070 VSK983070 VIO983070 UYS983070 UOW983070 UFA983070 TVE983070 TLI983070 TBM983070 SRQ983070 SHU983070 RXY983070 ROC983070 REG983070 QUK983070 QKO983070 QAS983070 PQW983070 PHA983070 OXE983070 ONI983070 ODM983070 NTQ983070 NJU983070 MZY983070 MQC983070 MGG983070 LWK983070 LMO983070 LCS983070 KSW983070 KJA983070 JZE983070 JPI983070 JFM983070 IVQ983070 ILU983070 IBY983070 HSC983070 HIG983070 GYK983070 GOO983070 GES983070 FUW983070 FLA983070 FBE983070 ERI983070 EHM983070 DXQ983070 DNU983070 DDY983070 CUC983070 CKG983070 CAK983070 BQO983070 BGS983070 AWW983070 ANA983070 ADE983070 TI983070 JM983070 Q983070 WVY917534 WMC917534 WCG917534 VSK917534 VIO917534 UYS917534 UOW917534 UFA917534 TVE917534 TLI917534 TBM917534 SRQ917534 SHU917534 RXY917534 ROC917534 REG917534 QUK917534 QKO917534 QAS917534 PQW917534 PHA917534 OXE917534 ONI917534 ODM917534 NTQ917534 NJU917534 MZY917534 MQC917534 MGG917534 LWK917534 LMO917534 LCS917534 KSW917534 KJA917534 JZE917534 JPI917534 JFM917534 IVQ917534 ILU917534 IBY917534 HSC917534 HIG917534 GYK917534 GOO917534 GES917534 FUW917534 FLA917534 FBE917534 ERI917534 EHM917534 DXQ917534 DNU917534 DDY917534 CUC917534 CKG917534 CAK917534 BQO917534 BGS917534 AWW917534 ANA917534 ADE917534 TI917534 JM917534 Q917534 WVY851998 WMC851998 WCG851998 VSK851998 VIO851998 UYS851998 UOW851998 UFA851998 TVE851998 TLI851998 TBM851998 SRQ851998 SHU851998 RXY851998 ROC851998 REG851998 QUK851998 QKO851998 QAS851998 PQW851998 PHA851998 OXE851998 ONI851998 ODM851998 NTQ851998 NJU851998 MZY851998 MQC851998 MGG851998 LWK851998 LMO851998 LCS851998 KSW851998 KJA851998 JZE851998 JPI851998 JFM851998 IVQ851998 ILU851998 IBY851998 HSC851998 HIG851998 GYK851998 GOO851998 GES851998 FUW851998 FLA851998 FBE851998 ERI851998 EHM851998 DXQ851998 DNU851998 DDY851998 CUC851998 CKG851998 CAK851998 BQO851998 BGS851998 AWW851998 ANA851998 ADE851998 TI851998 JM851998 Q851998 WVY786462 WMC786462 WCG786462 VSK786462 VIO786462 UYS786462 UOW786462 UFA786462 TVE786462 TLI786462 TBM786462 SRQ786462 SHU786462 RXY786462 ROC786462 REG786462 QUK786462 QKO786462 QAS786462 PQW786462 PHA786462 OXE786462 ONI786462 ODM786462 NTQ786462 NJU786462 MZY786462 MQC786462 MGG786462 LWK786462 LMO786462 LCS786462 KSW786462 KJA786462 JZE786462 JPI786462 JFM786462 IVQ786462 ILU786462 IBY786462 HSC786462 HIG786462 GYK786462 GOO786462 GES786462 FUW786462 FLA786462 FBE786462 ERI786462 EHM786462 DXQ786462 DNU786462 DDY786462 CUC786462 CKG786462 CAK786462 BQO786462 BGS786462 AWW786462 ANA786462 ADE786462 TI786462 JM786462 Q786462 WVY720926 WMC720926 WCG720926 VSK720926 VIO720926 UYS720926 UOW720926 UFA720926 TVE720926 TLI720926 TBM720926 SRQ720926 SHU720926 RXY720926 ROC720926 REG720926 QUK720926 QKO720926 QAS720926 PQW720926 PHA720926 OXE720926 ONI720926 ODM720926 NTQ720926 NJU720926 MZY720926 MQC720926 MGG720926 LWK720926 LMO720926 LCS720926 KSW720926 KJA720926 JZE720926 JPI720926 JFM720926 IVQ720926 ILU720926 IBY720926 HSC720926 HIG720926 GYK720926 GOO720926 GES720926 FUW720926 FLA720926 FBE720926 ERI720926 EHM720926 DXQ720926 DNU720926 DDY720926 CUC720926 CKG720926 CAK720926 BQO720926 BGS720926 AWW720926 ANA720926 ADE720926 TI720926 JM720926 Q720926 WVY655390 WMC655390 WCG655390 VSK655390 VIO655390 UYS655390 UOW655390 UFA655390 TVE655390 TLI655390 TBM655390 SRQ655390 SHU655390 RXY655390 ROC655390 REG655390 QUK655390 QKO655390 QAS655390 PQW655390 PHA655390 OXE655390 ONI655390 ODM655390 NTQ655390 NJU655390 MZY655390 MQC655390 MGG655390 LWK655390 LMO655390 LCS655390 KSW655390 KJA655390 JZE655390 JPI655390 JFM655390 IVQ655390 ILU655390 IBY655390 HSC655390 HIG655390 GYK655390 GOO655390 GES655390 FUW655390 FLA655390 FBE655390 ERI655390 EHM655390 DXQ655390 DNU655390 DDY655390 CUC655390 CKG655390 CAK655390 BQO655390 BGS655390 AWW655390 ANA655390 ADE655390 TI655390 JM655390 Q655390 WVY589854 WMC589854 WCG589854 VSK589854 VIO589854 UYS589854 UOW589854 UFA589854 TVE589854 TLI589854 TBM589854 SRQ589854 SHU589854 RXY589854 ROC589854 REG589854 QUK589854 QKO589854 QAS589854 PQW589854 PHA589854 OXE589854 ONI589854 ODM589854 NTQ589854 NJU589854 MZY589854 MQC589854 MGG589854 LWK589854 LMO589854 LCS589854 KSW589854 KJA589854 JZE589854 JPI589854 JFM589854 IVQ589854 ILU589854 IBY589854 HSC589854 HIG589854 GYK589854 GOO589854 GES589854 FUW589854 FLA589854 FBE589854 ERI589854 EHM589854 DXQ589854 DNU589854 DDY589854 CUC589854 CKG589854 CAK589854 BQO589854 BGS589854 AWW589854 ANA589854 ADE589854 TI589854 JM589854 Q589854 WVY524318 WMC524318 WCG524318 VSK524318 VIO524318 UYS524318 UOW524318 UFA524318 TVE524318 TLI524318 TBM524318 SRQ524318 SHU524318 RXY524318 ROC524318 REG524318 QUK524318 QKO524318 QAS524318 PQW524318 PHA524318 OXE524318 ONI524318 ODM524318 NTQ524318 NJU524318 MZY524318 MQC524318 MGG524318 LWK524318 LMO524318 LCS524318 KSW524318 KJA524318 JZE524318 JPI524318 JFM524318 IVQ524318 ILU524318 IBY524318 HSC524318 HIG524318 GYK524318 GOO524318 GES524318 FUW524318 FLA524318 FBE524318 ERI524318 EHM524318 DXQ524318 DNU524318 DDY524318 CUC524318 CKG524318 CAK524318 BQO524318 BGS524318 AWW524318 ANA524318 ADE524318 TI524318 JM524318 Q524318 WVY458782 WMC458782 WCG458782 VSK458782 VIO458782 UYS458782 UOW458782 UFA458782 TVE458782 TLI458782 TBM458782 SRQ458782 SHU458782 RXY458782 ROC458782 REG458782 QUK458782 QKO458782 QAS458782 PQW458782 PHA458782 OXE458782 ONI458782 ODM458782 NTQ458782 NJU458782 MZY458782 MQC458782 MGG458782 LWK458782 LMO458782 LCS458782 KSW458782 KJA458782 JZE458782 JPI458782 JFM458782 IVQ458782 ILU458782 IBY458782 HSC458782 HIG458782 GYK458782 GOO458782 GES458782 FUW458782 FLA458782 FBE458782 ERI458782 EHM458782 DXQ458782 DNU458782 DDY458782 CUC458782 CKG458782 CAK458782 BQO458782 BGS458782 AWW458782 ANA458782 ADE458782 TI458782 JM458782 Q458782 WVY393246 WMC393246 WCG393246 VSK393246 VIO393246 UYS393246 UOW393246 UFA393246 TVE393246 TLI393246 TBM393246 SRQ393246 SHU393246 RXY393246 ROC393246 REG393246 QUK393246 QKO393246 QAS393246 PQW393246 PHA393246 OXE393246 ONI393246 ODM393246 NTQ393246 NJU393246 MZY393246 MQC393246 MGG393246 LWK393246 LMO393246 LCS393246 KSW393246 KJA393246 JZE393246 JPI393246 JFM393246 IVQ393246 ILU393246 IBY393246 HSC393246 HIG393246 GYK393246 GOO393246 GES393246 FUW393246 FLA393246 FBE393246 ERI393246 EHM393246 DXQ393246 DNU393246 DDY393246 CUC393246 CKG393246 CAK393246 BQO393246 BGS393246 AWW393246 ANA393246 ADE393246 TI393246 JM393246 Q393246 WVY327710 WMC327710 WCG327710 VSK327710 VIO327710 UYS327710 UOW327710 UFA327710 TVE327710 TLI327710 TBM327710 SRQ327710 SHU327710 RXY327710 ROC327710 REG327710 QUK327710 QKO327710 QAS327710 PQW327710 PHA327710 OXE327710 ONI327710 ODM327710 NTQ327710 NJU327710 MZY327710 MQC327710 MGG327710 LWK327710 LMO327710 LCS327710 KSW327710 KJA327710 JZE327710 JPI327710 JFM327710 IVQ327710 ILU327710 IBY327710 HSC327710 HIG327710 GYK327710 GOO327710 GES327710 FUW327710 FLA327710 FBE327710 ERI327710 EHM327710 DXQ327710 DNU327710 DDY327710 CUC327710 CKG327710 CAK327710 BQO327710 BGS327710 AWW327710 ANA327710 ADE327710 TI327710 JM327710 Q327710 WVY262174 WMC262174 WCG262174 VSK262174 VIO262174 UYS262174 UOW262174 UFA262174 TVE262174 TLI262174 TBM262174 SRQ262174 SHU262174 RXY262174 ROC262174 REG262174 QUK262174 QKO262174 QAS262174 PQW262174 PHA262174 OXE262174 ONI262174 ODM262174 NTQ262174 NJU262174 MZY262174 MQC262174 MGG262174 LWK262174 LMO262174 LCS262174 KSW262174 KJA262174 JZE262174 JPI262174 JFM262174 IVQ262174 ILU262174 IBY262174 HSC262174 HIG262174 GYK262174 GOO262174 GES262174 FUW262174 FLA262174 FBE262174 ERI262174 EHM262174 DXQ262174 DNU262174 DDY262174 CUC262174 CKG262174 CAK262174 BQO262174 BGS262174 AWW262174 ANA262174 ADE262174 TI262174 JM262174 Q262174 WVY196638 WMC196638 WCG196638 VSK196638 VIO196638 UYS196638 UOW196638 UFA196638 TVE196638 TLI196638 TBM196638 SRQ196638 SHU196638 RXY196638 ROC196638 REG196638 QUK196638 QKO196638 QAS196638 PQW196638 PHA196638 OXE196638 ONI196638 ODM196638 NTQ196638 NJU196638 MZY196638 MQC196638 MGG196638 LWK196638 LMO196638 LCS196638 KSW196638 KJA196638 JZE196638 JPI196638 JFM196638 IVQ196638 ILU196638 IBY196638 HSC196638 HIG196638 GYK196638 GOO196638 GES196638 FUW196638 FLA196638 FBE196638 ERI196638 EHM196638 DXQ196638 DNU196638 DDY196638 CUC196638 CKG196638 CAK196638 BQO196638 BGS196638 AWW196638 ANA196638 ADE196638 TI196638 JM196638 Q196638 WVY131102 WMC131102 WCG131102 VSK131102 VIO131102 UYS131102 UOW131102 UFA131102 TVE131102 TLI131102 TBM131102 SRQ131102 SHU131102 RXY131102 ROC131102 REG131102 QUK131102 QKO131102 QAS131102 PQW131102 PHA131102 OXE131102 ONI131102 ODM131102 NTQ131102 NJU131102 MZY131102 MQC131102 MGG131102 LWK131102 LMO131102 LCS131102 KSW131102 KJA131102 JZE131102 JPI131102 JFM131102 IVQ131102 ILU131102 IBY131102 HSC131102 HIG131102 GYK131102 GOO131102 GES131102 FUW131102 FLA131102 FBE131102 ERI131102 EHM131102 DXQ131102 DNU131102 DDY131102 CUC131102 CKG131102 CAK131102 BQO131102 BGS131102 AWW131102 ANA131102 ADE131102 TI131102 JM131102 Q131102 WVY65566 WMC65566 WCG65566 VSK65566 VIO65566 UYS65566 UOW65566 UFA65566 TVE65566 TLI65566 TBM65566 SRQ65566 SHU65566 RXY65566 ROC65566 REG65566 QUK65566 QKO65566 QAS65566 PQW65566 PHA65566 OXE65566 ONI65566 ODM65566 NTQ65566 NJU65566 MZY65566 MQC65566 MGG65566 LWK65566 LMO65566 LCS65566 KSW65566 KJA65566 JZE65566 JPI65566 JFM65566 IVQ65566 ILU65566 IBY65566 HSC65566 HIG65566 GYK65566 GOO65566 GES65566 FUW65566 FLA65566 FBE65566 ERI65566 EHM65566 DXQ65566 DNU65566 DDY65566 CUC65566 CKG65566 CAK65566 BQO65566 BGS65566 AWW65566 ANA65566 ADE65566 TI65566 JM65566 Q65566 WVY30 WMC30 WCG30 VSK30 VIO30 UYS30 UOW30 UFA30 TVE30 TLI30 TBM30 SRQ30 SHU30 RXY30 ROC30 REG30 QUK30 QKO30 QAS30 PQW30 PHA30 OXE30 ONI30 ODM30 NTQ30 NJU30 MZY30 MQC30 MGG30 LWK30 LMO30 LCS30 KSW30 KJA30 JZE30 JPI30 JFM30 IVQ30 ILU30 IBY30 HSC30 HIG30 GYK30 GOO30 GES30 FUW30 FLA30 FBE30 ERI30 EHM30 DXQ30 DNU30 DDY30 CUC30 CKG30 CAK30 BQO30 BGS30 AWW30 ANA30 ADE30 TI30 JM30 Q30 WVV983070 WLZ983070 WCD983070 VSH983070 VIL983070 UYP983070 UOT983070 UEX983070 TVB983070 TLF983070 TBJ983070 SRN983070 SHR983070 RXV983070 RNZ983070 RED983070 QUH983070 QKL983070 QAP983070 PQT983070 PGX983070 OXB983070 ONF983070 ODJ983070 NTN983070 NJR983070 MZV983070 MPZ983070 MGD983070 LWH983070 LML983070 LCP983070 KST983070 KIX983070 JZB983070 JPF983070 JFJ983070 IVN983070 ILR983070 IBV983070 HRZ983070 HID983070 GYH983070 GOL983070 GEP983070 FUT983070 FKX983070 FBB983070 ERF983070 EHJ983070 DXN983070 DNR983070 DDV983070 CTZ983070 CKD983070 CAH983070 BQL983070 BGP983070 AWT983070 AMX983070 ADB983070 TF983070 JJ983070 N983070 WVV917534 WLZ917534 WCD917534 VSH917534 VIL917534 UYP917534 UOT917534 UEX917534 TVB917534 TLF917534 TBJ917534 SRN917534 SHR917534 RXV917534 RNZ917534 RED917534 QUH917534 QKL917534 QAP917534 PQT917534 PGX917534 OXB917534 ONF917534 ODJ917534 NTN917534 NJR917534 MZV917534 MPZ917534 MGD917534 LWH917534 LML917534 LCP917534 KST917534 KIX917534 JZB917534 JPF917534 JFJ917534 IVN917534 ILR917534 IBV917534 HRZ917534 HID917534 GYH917534 GOL917534 GEP917534 FUT917534 FKX917534 FBB917534 ERF917534 EHJ917534 DXN917534 DNR917534 DDV917534 CTZ917534 CKD917534 CAH917534 BQL917534 BGP917534 AWT917534 AMX917534 ADB917534 TF917534 JJ917534 N917534 WVV851998 WLZ851998 WCD851998 VSH851998 VIL851998 UYP851998 UOT851998 UEX851998 TVB851998 TLF851998 TBJ851998 SRN851998 SHR851998 RXV851998 RNZ851998 RED851998 QUH851998 QKL851998 QAP851998 PQT851998 PGX851998 OXB851998 ONF851998 ODJ851998 NTN851998 NJR851998 MZV851998 MPZ851998 MGD851998 LWH851998 LML851998 LCP851998 KST851998 KIX851998 JZB851998 JPF851998 JFJ851998 IVN851998 ILR851998 IBV851998 HRZ851998 HID851998 GYH851998 GOL851998 GEP851998 FUT851998 FKX851998 FBB851998 ERF851998 EHJ851998 DXN851998 DNR851998 DDV851998 CTZ851998 CKD851998 CAH851998 BQL851998 BGP851998 AWT851998 AMX851998 ADB851998 TF851998 JJ851998 N851998 WVV786462 WLZ786462 WCD786462 VSH786462 VIL786462 UYP786462 UOT786462 UEX786462 TVB786462 TLF786462 TBJ786462 SRN786462 SHR786462 RXV786462 RNZ786462 RED786462 QUH786462 QKL786462 QAP786462 PQT786462 PGX786462 OXB786462 ONF786462 ODJ786462 NTN786462 NJR786462 MZV786462 MPZ786462 MGD786462 LWH786462 LML786462 LCP786462 KST786462 KIX786462 JZB786462 JPF786462 JFJ786462 IVN786462 ILR786462 IBV786462 HRZ786462 HID786462 GYH786462 GOL786462 GEP786462 FUT786462 FKX786462 FBB786462 ERF786462 EHJ786462 DXN786462 DNR786462 DDV786462 CTZ786462 CKD786462 CAH786462 BQL786462 BGP786462 AWT786462 AMX786462 ADB786462 TF786462 JJ786462 N786462 WVV720926 WLZ720926 WCD720926 VSH720926 VIL720926 UYP720926 UOT720926 UEX720926 TVB720926 TLF720926 TBJ720926 SRN720926 SHR720926 RXV720926 RNZ720926 RED720926 QUH720926 QKL720926 QAP720926 PQT720926 PGX720926 OXB720926 ONF720926 ODJ720926 NTN720926 NJR720926 MZV720926 MPZ720926 MGD720926 LWH720926 LML720926 LCP720926 KST720926 KIX720926 JZB720926 JPF720926 JFJ720926 IVN720926 ILR720926 IBV720926 HRZ720926 HID720926 GYH720926 GOL720926 GEP720926 FUT720926 FKX720926 FBB720926 ERF720926 EHJ720926 DXN720926 DNR720926 DDV720926 CTZ720926 CKD720926 CAH720926 BQL720926 BGP720926 AWT720926 AMX720926 ADB720926 TF720926 JJ720926 N720926 WVV655390 WLZ655390 WCD655390 VSH655390 VIL655390 UYP655390 UOT655390 UEX655390 TVB655390 TLF655390 TBJ655390 SRN655390 SHR655390 RXV655390 RNZ655390 RED655390 QUH655390 QKL655390 QAP655390 PQT655390 PGX655390 OXB655390 ONF655390 ODJ655390 NTN655390 NJR655390 MZV655390 MPZ655390 MGD655390 LWH655390 LML655390 LCP655390 KST655390 KIX655390 JZB655390 JPF655390 JFJ655390 IVN655390 ILR655390 IBV655390 HRZ655390 HID655390 GYH655390 GOL655390 GEP655390 FUT655390 FKX655390 FBB655390 ERF655390 EHJ655390 DXN655390 DNR655390 DDV655390 CTZ655390 CKD655390 CAH655390 BQL655390 BGP655390 AWT655390 AMX655390 ADB655390 TF655390 JJ655390 N655390 WVV589854 WLZ589854 WCD589854 VSH589854 VIL589854 UYP589854 UOT589854 UEX589854 TVB589854 TLF589854 TBJ589854 SRN589854 SHR589854 RXV589854 RNZ589854 RED589854 QUH589854 QKL589854 QAP589854 PQT589854 PGX589854 OXB589854 ONF589854 ODJ589854 NTN589854 NJR589854 MZV589854 MPZ589854 MGD589854 LWH589854 LML589854 LCP589854 KST589854 KIX589854 JZB589854 JPF589854 JFJ589854 IVN589854 ILR589854 IBV589854 HRZ589854 HID589854 GYH589854 GOL589854 GEP589854 FUT589854 FKX589854 FBB589854 ERF589854 EHJ589854 DXN589854 DNR589854 DDV589854 CTZ589854 CKD589854 CAH589854 BQL589854 BGP589854 AWT589854 AMX589854 ADB589854 TF589854 JJ589854 N589854 WVV524318 WLZ524318 WCD524318 VSH524318 VIL524318 UYP524318 UOT524318 UEX524318 TVB524318 TLF524318 TBJ524318 SRN524318 SHR524318 RXV524318 RNZ524318 RED524318 QUH524318 QKL524318 QAP524318 PQT524318 PGX524318 OXB524318 ONF524318 ODJ524318 NTN524318 NJR524318 MZV524318 MPZ524318 MGD524318 LWH524318 LML524318 LCP524318 KST524318 KIX524318 JZB524318 JPF524318 JFJ524318 IVN524318 ILR524318 IBV524318 HRZ524318 HID524318 GYH524318 GOL524318 GEP524318 FUT524318 FKX524318 FBB524318 ERF524318 EHJ524318 DXN524318 DNR524318 DDV524318 CTZ524318 CKD524318 CAH524318 BQL524318 BGP524318 AWT524318 AMX524318 ADB524318 TF524318 JJ524318 N524318 WVV458782 WLZ458782 WCD458782 VSH458782 VIL458782 UYP458782 UOT458782 UEX458782 TVB458782 TLF458782 TBJ458782 SRN458782 SHR458782 RXV458782 RNZ458782 RED458782 QUH458782 QKL458782 QAP458782 PQT458782 PGX458782 OXB458782 ONF458782 ODJ458782 NTN458782 NJR458782 MZV458782 MPZ458782 MGD458782 LWH458782 LML458782 LCP458782 KST458782 KIX458782 JZB458782 JPF458782 JFJ458782 IVN458782 ILR458782 IBV458782 HRZ458782 HID458782 GYH458782 GOL458782 GEP458782 FUT458782 FKX458782 FBB458782 ERF458782 EHJ458782 DXN458782 DNR458782 DDV458782 CTZ458782 CKD458782 CAH458782 BQL458782 BGP458782 AWT458782 AMX458782 ADB458782 TF458782 JJ458782 N458782 WVV393246 WLZ393246 WCD393246 VSH393246 VIL393246 UYP393246 UOT393246 UEX393246 TVB393246 TLF393246 TBJ393246 SRN393246 SHR393246 RXV393246 RNZ393246 RED393246 QUH393246 QKL393246 QAP393246 PQT393246 PGX393246 OXB393246 ONF393246 ODJ393246 NTN393246 NJR393246 MZV393246 MPZ393246 MGD393246 LWH393246 LML393246 LCP393246 KST393246 KIX393246 JZB393246 JPF393246 JFJ393246 IVN393246 ILR393246 IBV393246 HRZ393246 HID393246 GYH393246 GOL393246 GEP393246 FUT393246 FKX393246 FBB393246 ERF393246 EHJ393246 DXN393246 DNR393246 DDV393246 CTZ393246 CKD393246 CAH393246 BQL393246 BGP393246 AWT393246 AMX393246 ADB393246 TF393246 JJ393246 N393246 WVV327710 WLZ327710 WCD327710 VSH327710 VIL327710 UYP327710 UOT327710 UEX327710 TVB327710 TLF327710 TBJ327710 SRN327710 SHR327710 RXV327710 RNZ327710 RED327710 QUH327710 QKL327710 QAP327710 PQT327710 PGX327710 OXB327710 ONF327710 ODJ327710 NTN327710 NJR327710 MZV327710 MPZ327710 MGD327710 LWH327710 LML327710 LCP327710 KST327710 KIX327710 JZB327710 JPF327710 JFJ327710 IVN327710 ILR327710 IBV327710 HRZ327710 HID327710 GYH327710 GOL327710 GEP327710 FUT327710 FKX327710 FBB327710 ERF327710 EHJ327710 DXN327710 DNR327710 DDV327710 CTZ327710 CKD327710 CAH327710 BQL327710 BGP327710 AWT327710 AMX327710 ADB327710 TF327710 JJ327710 N327710 WVV262174 WLZ262174 WCD262174 VSH262174 VIL262174 UYP262174 UOT262174 UEX262174 TVB262174 TLF262174 TBJ262174 SRN262174 SHR262174 RXV262174 RNZ262174 RED262174 QUH262174 QKL262174 QAP262174 PQT262174 PGX262174 OXB262174 ONF262174 ODJ262174 NTN262174 NJR262174 MZV262174 MPZ262174 MGD262174 LWH262174 LML262174 LCP262174 KST262174 KIX262174 JZB262174 JPF262174 JFJ262174 IVN262174 ILR262174 IBV262174 HRZ262174 HID262174 GYH262174 GOL262174 GEP262174 FUT262174 FKX262174 FBB262174 ERF262174 EHJ262174 DXN262174 DNR262174 DDV262174 CTZ262174 CKD262174 CAH262174 BQL262174 BGP262174 AWT262174 AMX262174 ADB262174 TF262174 JJ262174 N262174 WVV196638 WLZ196638 WCD196638 VSH196638 VIL196638 UYP196638 UOT196638 UEX196638 TVB196638 TLF196638 TBJ196638 SRN196638 SHR196638 RXV196638 RNZ196638 RED196638 QUH196638 QKL196638 QAP196638 PQT196638 PGX196638 OXB196638 ONF196638 ODJ196638 NTN196638 NJR196638 MZV196638 MPZ196638 MGD196638 LWH196638 LML196638 LCP196638 KST196638 KIX196638 JZB196638 JPF196638 JFJ196638 IVN196638 ILR196638 IBV196638 HRZ196638 HID196638 GYH196638 GOL196638 GEP196638 FUT196638 FKX196638 FBB196638 ERF196638 EHJ196638 DXN196638 DNR196638 DDV196638 CTZ196638 CKD196638 CAH196638 BQL196638 BGP196638 AWT196638 AMX196638 ADB196638 TF196638 JJ196638 N196638 WVV131102 WLZ131102 WCD131102 VSH131102 VIL131102 UYP131102 UOT131102 UEX131102 TVB131102 TLF131102 TBJ131102 SRN131102 SHR131102 RXV131102 RNZ131102 RED131102 QUH131102 QKL131102 QAP131102 PQT131102 PGX131102 OXB131102 ONF131102 ODJ131102 NTN131102 NJR131102 MZV131102 MPZ131102 MGD131102 LWH131102 LML131102 LCP131102 KST131102 KIX131102 JZB131102 JPF131102 JFJ131102 IVN131102 ILR131102 IBV131102 HRZ131102 HID131102 GYH131102 GOL131102 GEP131102 FUT131102 FKX131102 FBB131102 ERF131102 EHJ131102 DXN131102 DNR131102 DDV131102 CTZ131102 CKD131102 CAH131102 BQL131102 BGP131102 AWT131102 AMX131102 ADB131102 TF131102 JJ131102 N131102 WVV65566 WLZ65566 WCD65566 VSH65566 VIL65566 UYP65566 UOT65566 UEX65566 TVB65566 TLF65566 TBJ65566 SRN65566 SHR65566 RXV65566 RNZ65566 RED65566 QUH65566 QKL65566 QAP65566 PQT65566 PGX65566 OXB65566 ONF65566 ODJ65566 NTN65566 NJR65566 MZV65566 MPZ65566 MGD65566 LWH65566 LML65566 LCP65566 KST65566 KIX65566 JZB65566 JPF65566 JFJ65566 IVN65566 ILR65566 IBV65566 HRZ65566 HID65566 GYH65566 GOL65566 GEP65566 FUT65566 FKX65566 FBB65566 ERF65566 EHJ65566 DXN65566 DNR65566 DDV65566 CTZ65566 CKD65566 CAH65566 BQL65566 BGP65566 AWT65566 AMX65566 ADB65566 TF65566 JJ65566 N65566 WVV30 WLZ30 WCD30 VSH30 VIL30 UYP30 UOT30 UEX30 TVB30 TLF30 TBJ30 SRN30 SHR30 RXV30 RNZ30 RED30 QUH30 QKL30 QAP30 PQT30 PGX30 OXB30 ONF30 ODJ30 NTN30 NJR30 MZV30 MPZ30 MGD30 LWH30 LML30 LCP30 KST30 KIX30 JZB30 JPF30 JFJ30 IVN30 ILR30 IBV30 HRZ30 HID30 GYH30 GOL30 GEP30 FUT30 FKX30 FBB30 ERF30 EHJ30 DXN30 DNR30 DDV30 CTZ30 CKD30 CAH30 BQL30 BGP30 AWT30 AMX30 ADB30 TF30 JJ30 N30 WVV983066 WLZ983066 WCD983066 VSH983066 VIL983066 UYP983066 UOT983066 UEX983066 TVB983066 TLF983066 TBJ983066 SRN983066 SHR983066 RXV983066 RNZ983066 RED983066 QUH983066 QKL983066 QAP983066 PQT983066 PGX983066 OXB983066 ONF983066 ODJ983066 NTN983066 NJR983066 MZV983066 MPZ983066 MGD983066 LWH983066 LML983066 LCP983066 KST983066 KIX983066 JZB983066 JPF983066 JFJ983066 IVN983066 ILR983066 IBV983066 HRZ983066 HID983066 GYH983066 GOL983066 GEP983066 FUT983066 FKX983066 FBB983066 ERF983066 EHJ983066 DXN983066 DNR983066 DDV983066 CTZ983066 CKD983066 CAH983066 BQL983066 BGP983066 AWT983066 AMX983066 ADB983066 TF983066 JJ983066 N983066 WVV917530 WLZ917530 WCD917530 VSH917530 VIL917530 UYP917530 UOT917530 UEX917530 TVB917530 TLF917530 TBJ917530 SRN917530 SHR917530 RXV917530 RNZ917530 RED917530 QUH917530 QKL917530 QAP917530 PQT917530 PGX917530 OXB917530 ONF917530 ODJ917530 NTN917530 NJR917530 MZV917530 MPZ917530 MGD917530 LWH917530 LML917530 LCP917530 KST917530 KIX917530 JZB917530 JPF917530 JFJ917530 IVN917530 ILR917530 IBV917530 HRZ917530 HID917530 GYH917530 GOL917530 GEP917530 FUT917530 FKX917530 FBB917530 ERF917530 EHJ917530 DXN917530 DNR917530 DDV917530 CTZ917530 CKD917530 CAH917530 BQL917530 BGP917530 AWT917530 AMX917530 ADB917530 TF917530 JJ917530 N917530 WVV851994 WLZ851994 WCD851994 VSH851994 VIL851994 UYP851994 UOT851994 UEX851994 TVB851994 TLF851994 TBJ851994 SRN851994 SHR851994 RXV851994 RNZ851994 RED851994 QUH851994 QKL851994 QAP851994 PQT851994 PGX851994 OXB851994 ONF851994 ODJ851994 NTN851994 NJR851994 MZV851994 MPZ851994 MGD851994 LWH851994 LML851994 LCP851994 KST851994 KIX851994 JZB851994 JPF851994 JFJ851994 IVN851994 ILR851994 IBV851994 HRZ851994 HID851994 GYH851994 GOL851994 GEP851994 FUT851994 FKX851994 FBB851994 ERF851994 EHJ851994 DXN851994 DNR851994 DDV851994 CTZ851994 CKD851994 CAH851994 BQL851994 BGP851994 AWT851994 AMX851994 ADB851994 TF851994 JJ851994 N851994 WVV786458 WLZ786458 WCD786458 VSH786458 VIL786458 UYP786458 UOT786458 UEX786458 TVB786458 TLF786458 TBJ786458 SRN786458 SHR786458 RXV786458 RNZ786458 RED786458 QUH786458 QKL786458 QAP786458 PQT786458 PGX786458 OXB786458 ONF786458 ODJ786458 NTN786458 NJR786458 MZV786458 MPZ786458 MGD786458 LWH786458 LML786458 LCP786458 KST786458 KIX786458 JZB786458 JPF786458 JFJ786458 IVN786458 ILR786458 IBV786458 HRZ786458 HID786458 GYH786458 GOL786458 GEP786458 FUT786458 FKX786458 FBB786458 ERF786458 EHJ786458 DXN786458 DNR786458 DDV786458 CTZ786458 CKD786458 CAH786458 BQL786458 BGP786458 AWT786458 AMX786458 ADB786458 TF786458 JJ786458 N786458 WVV720922 WLZ720922 WCD720922 VSH720922 VIL720922 UYP720922 UOT720922 UEX720922 TVB720922 TLF720922 TBJ720922 SRN720922 SHR720922 RXV720922 RNZ720922 RED720922 QUH720922 QKL720922 QAP720922 PQT720922 PGX720922 OXB720922 ONF720922 ODJ720922 NTN720922 NJR720922 MZV720922 MPZ720922 MGD720922 LWH720922 LML720922 LCP720922 KST720922 KIX720922 JZB720922 JPF720922 JFJ720922 IVN720922 ILR720922 IBV720922 HRZ720922 HID720922 GYH720922 GOL720922 GEP720922 FUT720922 FKX720922 FBB720922 ERF720922 EHJ720922 DXN720922 DNR720922 DDV720922 CTZ720922 CKD720922 CAH720922 BQL720922 BGP720922 AWT720922 AMX720922 ADB720922 TF720922 JJ720922 N720922 WVV655386 WLZ655386 WCD655386 VSH655386 VIL655386 UYP655386 UOT655386 UEX655386 TVB655386 TLF655386 TBJ655386 SRN655386 SHR655386 RXV655386 RNZ655386 RED655386 QUH655386 QKL655386 QAP655386 PQT655386 PGX655386 OXB655386 ONF655386 ODJ655386 NTN655386 NJR655386 MZV655386 MPZ655386 MGD655386 LWH655386 LML655386 LCP655386 KST655386 KIX655386 JZB655386 JPF655386 JFJ655386 IVN655386 ILR655386 IBV655386 HRZ655386 HID655386 GYH655386 GOL655386 GEP655386 FUT655386 FKX655386 FBB655386 ERF655386 EHJ655386 DXN655386 DNR655386 DDV655386 CTZ655386 CKD655386 CAH655386 BQL655386 BGP655386 AWT655386 AMX655386 ADB655386 TF655386 JJ655386 N655386 WVV589850 WLZ589850 WCD589850 VSH589850 VIL589850 UYP589850 UOT589850 UEX589850 TVB589850 TLF589850 TBJ589850 SRN589850 SHR589850 RXV589850 RNZ589850 RED589850 QUH589850 QKL589850 QAP589850 PQT589850 PGX589850 OXB589850 ONF589850 ODJ589850 NTN589850 NJR589850 MZV589850 MPZ589850 MGD589850 LWH589850 LML589850 LCP589850 KST589850 KIX589850 JZB589850 JPF589850 JFJ589850 IVN589850 ILR589850 IBV589850 HRZ589850 HID589850 GYH589850 GOL589850 GEP589850 FUT589850 FKX589850 FBB589850 ERF589850 EHJ589850 DXN589850 DNR589850 DDV589850 CTZ589850 CKD589850 CAH589850 BQL589850 BGP589850 AWT589850 AMX589850 ADB589850 TF589850 JJ589850 N589850 WVV524314 WLZ524314 WCD524314 VSH524314 VIL524314 UYP524314 UOT524314 UEX524314 TVB524314 TLF524314 TBJ524314 SRN524314 SHR524314 RXV524314 RNZ524314 RED524314 QUH524314 QKL524314 QAP524314 PQT524314 PGX524314 OXB524314 ONF524314 ODJ524314 NTN524314 NJR524314 MZV524314 MPZ524314 MGD524314 LWH524314 LML524314 LCP524314 KST524314 KIX524314 JZB524314 JPF524314 JFJ524314 IVN524314 ILR524314 IBV524314 HRZ524314 HID524314 GYH524314 GOL524314 GEP524314 FUT524314 FKX524314 FBB524314 ERF524314 EHJ524314 DXN524314 DNR524314 DDV524314 CTZ524314 CKD524314 CAH524314 BQL524314 BGP524314 AWT524314 AMX524314 ADB524314 TF524314 JJ524314 N524314 WVV458778 WLZ458778 WCD458778 VSH458778 VIL458778 UYP458778 UOT458778 UEX458778 TVB458778 TLF458778 TBJ458778 SRN458778 SHR458778 RXV458778 RNZ458778 RED458778 QUH458778 QKL458778 QAP458778 PQT458778 PGX458778 OXB458778 ONF458778 ODJ458778 NTN458778 NJR458778 MZV458778 MPZ458778 MGD458778 LWH458778 LML458778 LCP458778 KST458778 KIX458778 JZB458778 JPF458778 JFJ458778 IVN458778 ILR458778 IBV458778 HRZ458778 HID458778 GYH458778 GOL458778 GEP458778 FUT458778 FKX458778 FBB458778 ERF458778 EHJ458778 DXN458778 DNR458778 DDV458778 CTZ458778 CKD458778 CAH458778 BQL458778 BGP458778 AWT458778 AMX458778 ADB458778 TF458778 JJ458778 N458778 WVV393242 WLZ393242 WCD393242 VSH393242 VIL393242 UYP393242 UOT393242 UEX393242 TVB393242 TLF393242 TBJ393242 SRN393242 SHR393242 RXV393242 RNZ393242 RED393242 QUH393242 QKL393242 QAP393242 PQT393242 PGX393242 OXB393242 ONF393242 ODJ393242 NTN393242 NJR393242 MZV393242 MPZ393242 MGD393242 LWH393242 LML393242 LCP393242 KST393242 KIX393242 JZB393242 JPF393242 JFJ393242 IVN393242 ILR393242 IBV393242 HRZ393242 HID393242 GYH393242 GOL393242 GEP393242 FUT393242 FKX393242 FBB393242 ERF393242 EHJ393242 DXN393242 DNR393242 DDV393242 CTZ393242 CKD393242 CAH393242 BQL393242 BGP393242 AWT393242 AMX393242 ADB393242 TF393242 JJ393242 N393242 WVV327706 WLZ327706 WCD327706 VSH327706 VIL327706 UYP327706 UOT327706 UEX327706 TVB327706 TLF327706 TBJ327706 SRN327706 SHR327706 RXV327706 RNZ327706 RED327706 QUH327706 QKL327706 QAP327706 PQT327706 PGX327706 OXB327706 ONF327706 ODJ327706 NTN327706 NJR327706 MZV327706 MPZ327706 MGD327706 LWH327706 LML327706 LCP327706 KST327706 KIX327706 JZB327706 JPF327706 JFJ327706 IVN327706 ILR327706 IBV327706 HRZ327706 HID327706 GYH327706 GOL327706 GEP327706 FUT327706 FKX327706 FBB327706 ERF327706 EHJ327706 DXN327706 DNR327706 DDV327706 CTZ327706 CKD327706 CAH327706 BQL327706 BGP327706 AWT327706 AMX327706 ADB327706 TF327706 JJ327706 N327706 WVV262170 WLZ262170 WCD262170 VSH262170 VIL262170 UYP262170 UOT262170 UEX262170 TVB262170 TLF262170 TBJ262170 SRN262170 SHR262170 RXV262170 RNZ262170 RED262170 QUH262170 QKL262170 QAP262170 PQT262170 PGX262170 OXB262170 ONF262170 ODJ262170 NTN262170 NJR262170 MZV262170 MPZ262170 MGD262170 LWH262170 LML262170 LCP262170 KST262170 KIX262170 JZB262170 JPF262170 JFJ262170 IVN262170 ILR262170 IBV262170 HRZ262170 HID262170 GYH262170 GOL262170 GEP262170 FUT262170 FKX262170 FBB262170 ERF262170 EHJ262170 DXN262170 DNR262170 DDV262170 CTZ262170 CKD262170 CAH262170 BQL262170 BGP262170 AWT262170 AMX262170 ADB262170 TF262170 JJ262170 N262170 WVV196634 WLZ196634 WCD196634 VSH196634 VIL196634 UYP196634 UOT196634 UEX196634 TVB196634 TLF196634 TBJ196634 SRN196634 SHR196634 RXV196634 RNZ196634 RED196634 QUH196634 QKL196634 QAP196634 PQT196634 PGX196634 OXB196634 ONF196634 ODJ196634 NTN196634 NJR196634 MZV196634 MPZ196634 MGD196634 LWH196634 LML196634 LCP196634 KST196634 KIX196634 JZB196634 JPF196634 JFJ196634 IVN196634 ILR196634 IBV196634 HRZ196634 HID196634 GYH196634 GOL196634 GEP196634 FUT196634 FKX196634 FBB196634 ERF196634 EHJ196634 DXN196634 DNR196634 DDV196634 CTZ196634 CKD196634 CAH196634 BQL196634 BGP196634 AWT196634 AMX196634 ADB196634 TF196634 JJ196634 N196634 WVV131098 WLZ131098 WCD131098 VSH131098 VIL131098 UYP131098 UOT131098 UEX131098 TVB131098 TLF131098 TBJ131098 SRN131098 SHR131098 RXV131098 RNZ131098 RED131098 QUH131098 QKL131098 QAP131098 PQT131098 PGX131098 OXB131098 ONF131098 ODJ131098 NTN131098 NJR131098 MZV131098 MPZ131098 MGD131098 LWH131098 LML131098 LCP131098 KST131098 KIX131098 JZB131098 JPF131098 JFJ131098 IVN131098 ILR131098 IBV131098 HRZ131098 HID131098 GYH131098 GOL131098 GEP131098 FUT131098 FKX131098 FBB131098 ERF131098 EHJ131098 DXN131098 DNR131098 DDV131098 CTZ131098 CKD131098 CAH131098 BQL131098 BGP131098 AWT131098 AMX131098 ADB131098 TF131098 JJ131098 N131098 WVV65562 WLZ65562 WCD65562 VSH65562 VIL65562 UYP65562 UOT65562 UEX65562 TVB65562 TLF65562 TBJ65562 SRN65562 SHR65562 RXV65562 RNZ65562 RED65562 QUH65562 QKL65562 QAP65562 PQT65562 PGX65562 OXB65562 ONF65562 ODJ65562 NTN65562 NJR65562 MZV65562 MPZ65562 MGD65562 LWH65562 LML65562 LCP65562 KST65562 KIX65562 JZB65562 JPF65562 JFJ65562 IVN65562 ILR65562 IBV65562 HRZ65562 HID65562 GYH65562 GOL65562 GEP65562 FUT65562 FKX65562 FBB65562 ERF65562 EHJ65562 DXN65562 DNR65562 DDV65562 CTZ65562 CKD65562 CAH65562 BQL65562 BGP65562 AWT65562 AMX65562 ADB65562 TF65562 JJ65562 N65562 WVV26 WLZ26 WCD26 VSH26 VIL26 UYP26 UOT26 UEX26 TVB26 TLF26 TBJ26 SRN26 SHR26 RXV26 RNZ26 RED26 QUH26 QKL26 QAP26 PQT26 PGX26 OXB26 ONF26 ODJ26 NTN26 NJR26 MZV26 MPZ26 MGD26 LWH26 LML26 LCP26 KST26 KIX26 JZB26 JPF26 JFJ26 IVN26 ILR26 IBV26 HRZ26 HID26 GYH26 GOL26 GEP26 FUT26 FKX26 FBB26 ERF26 EHJ26 DXN26 DNR26 DDV26 CTZ26 CKD26 CAH26 BQL26 BGP26 AWT26 AMX26 ADB26 TF26 JJ26" xr:uid="{7A5205C0-5E19-4BD3-B3D2-0D560E959F93}">
      <formula1>$AJ$26:$AJ$27</formula1>
    </dataValidation>
    <dataValidation type="list" allowBlank="1" showInputMessage="1" sqref="P25:Q25" xr:uid="{6BB02846-3F1F-43D6-B807-2757197BCCF6}">
      <formula1>"　 ,確認,確更"</formula1>
    </dataValidation>
    <dataValidation type="list" allowBlank="1" showInputMessage="1" sqref="R25:U25" xr:uid="{969C7EDD-FE30-4AF6-AEC7-3B5B05969AA9}">
      <formula1>"　,建築ＩＰＥＣ,昇降ＩＰＥＣ,工作ＩＰＥＣ,設備ＩＰＥＣ"</formula1>
    </dataValidation>
  </dataValidations>
  <pageMargins left="0.78740157480314965" right="0.78740157480314965" top="0.98425196850393704" bottom="0.98425196850393704" header="0.51181102362204722" footer="0.51181102362204722"/>
  <pageSetup paperSize="9" scale="96" orientation="portrait" blackAndWhite="1" horizontalDpi="300" verticalDpi="300" r:id="rId1"/>
  <headerFooter alignWithMargins="0">
    <oddFooter>&amp;LＩＰＥＣー10　工事取りやめ届.xls&amp;Rｖｅｒ１.2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2022</vt:i4>
      </vt:variant>
    </vt:vector>
  </HeadingPairs>
  <TitlesOfParts>
    <vt:vector size="2024" baseType="lpstr">
      <vt:lpstr>追加説明書_完了検査</vt:lpstr>
      <vt:lpstr>追加様式</vt:lpstr>
      <vt:lpstr>_１級</vt:lpstr>
      <vt:lpstr>_output_sheetname</vt:lpstr>
      <vt:lpstr>_output_title</vt:lpstr>
      <vt:lpstr>chk_INTER_state_in_final</vt:lpstr>
      <vt:lpstr>chk_INTER1_state_in_conf</vt:lpstr>
      <vt:lpstr>chk_INTER2_state_in_conf</vt:lpstr>
      <vt:lpstr>chk_INTER3_state_in_conf</vt:lpstr>
      <vt:lpstr>chk_JOB_KIND_kakunin</vt:lpstr>
      <vt:lpstr>cls_JOB_KIND_base_point</vt:lpstr>
      <vt:lpstr>cls_JOB_KIND_erea</vt:lpstr>
      <vt:lpstr>cls_JOB_SET_KIND_base_point</vt:lpstr>
      <vt:lpstr>cls_JOB_SET_KIND_erea</vt:lpstr>
      <vt:lpstr>cls_TARGET_KIND_base_point</vt:lpstr>
      <vt:lpstr>cls_TARGET_KIND_erea</vt:lpstr>
      <vt:lpstr>監理者選任_大阪府下のみ!Criteria</vt:lpstr>
      <vt:lpstr>cst__output_sheetname</vt:lpstr>
      <vt:lpstr>cst__output_title</vt:lpstr>
      <vt:lpstr>cst_ISSUE_DATE_select</vt:lpstr>
      <vt:lpstr>cst_ISSUE_KOUFU_NAME_select</vt:lpstr>
      <vt:lpstr>cst_ISSUE_NO_select</vt:lpstr>
      <vt:lpstr>cst_koujikikan_month</vt:lpstr>
      <vt:lpstr>cst_koujikikan_year</vt:lpstr>
      <vt:lpstr>cst_shinsei_ACCEPT_DATE</vt:lpstr>
      <vt:lpstr>cst_shinsei_build_p6_01_PAGE6_KOUZOU_KEISAN_KIND__002</vt:lpstr>
      <vt:lpstr>cst_shinsei_build_p6_01_PAGE6_KOUZOU_KEISAN_KIND__004</vt:lpstr>
      <vt:lpstr>cst_shinsei_build_p6_01_PAGE6_KOUZOU_KEISAN_KIND__005</vt:lpstr>
      <vt:lpstr>cst_shinsei_build_YOUTO</vt:lpstr>
      <vt:lpstr>cst_shinsei_HIKIUKE_DATE</vt:lpstr>
      <vt:lpstr>cst_shinsei_ISSUE_DATE</vt:lpstr>
      <vt:lpstr>cst_shinsei_ISSUE_KOUFU_NAME</vt:lpstr>
      <vt:lpstr>cst_shinsei_ISSUE_NO</vt:lpstr>
      <vt:lpstr>cst_shinsei_ISSUE_NO_disp</vt:lpstr>
      <vt:lpstr>cst_shinsei_KAKU_SUMI_NO</vt:lpstr>
      <vt:lpstr>cst_shinsei_KAKUNIN_ISSUE_NO</vt:lpstr>
      <vt:lpstr>cst_shinsei_KAKUNIN_KOUFU_DATE</vt:lpstr>
      <vt:lpstr>cst_shinsei_PROVO_DATE</vt:lpstr>
      <vt:lpstr>cst_shinsei_PROVO_NO</vt:lpstr>
      <vt:lpstr>cst_shinsei_UKETUKE_NO</vt:lpstr>
      <vt:lpstr>cst_shinsei_UNIT_COUNT</vt:lpstr>
      <vt:lpstr>cst_wsflat35_dairi1_POST</vt:lpstr>
      <vt:lpstr>cst_wsjob_JOB_KIND</vt:lpstr>
      <vt:lpstr>cst_wsjob_JOB_KIND_final_box</vt:lpstr>
      <vt:lpstr>cst_wsjob_JOB_KIND_inter_box</vt:lpstr>
      <vt:lpstr>cst_wsjob_JOB_KIND_kakunin_box</vt:lpstr>
      <vt:lpstr>cst_wsjob_JOB_SET_KIND</vt:lpstr>
      <vt:lpstr>cst_wsjob_KENTIKUBUTU_box</vt:lpstr>
      <vt:lpstr>cst_wsjob_KENTIKUSETUBI_box</vt:lpstr>
      <vt:lpstr>cst_wsjob_KOUSAKUBUTU_1_box</vt:lpstr>
      <vt:lpstr>cst_wsjob_KOUSAKUBUTU_2_box</vt:lpstr>
      <vt:lpstr>cst_wsjob_SYOUKOUKI_box</vt:lpstr>
      <vt:lpstr>cst_wsjob_TARGET_KIND</vt:lpstr>
      <vt:lpstr>cst_wsjob_TARGET_KIND__label</vt:lpstr>
      <vt:lpstr>cst_wskakunin__bouka</vt:lpstr>
      <vt:lpstr>cst_wskakunin__kouji</vt:lpstr>
      <vt:lpstr>cst_wskakunin__kuiki</vt:lpstr>
      <vt:lpstr>cst_wskakunin__kuiki_box</vt:lpstr>
      <vt:lpstr>cst_wskakunin__tosi_kuiki</vt:lpstr>
      <vt:lpstr>cst_wskakunin_20kouzou101_KOUZOUSEKKEI_KOUFU_NO</vt:lpstr>
      <vt:lpstr>cst_wskakunin_20kouzou101_NAME</vt:lpstr>
      <vt:lpstr>cst_wskakunin_20kouzou102_KOUZOUSEKKEI_KOUFU_NO</vt:lpstr>
      <vt:lpstr>cst_wskakunin_20kouzou102_NAME</vt:lpstr>
      <vt:lpstr>cst_wskakunin_20kouzou103_KOUZOUSEKKEI_KOUFU_NO</vt:lpstr>
      <vt:lpstr>cst_wskakunin_20kouzou103_NAME</vt:lpstr>
      <vt:lpstr>cst_wskakunin_20kouzou104_KOUZOUSEKKEI_KOUFU_NO</vt:lpstr>
      <vt:lpstr>cst_wskakunin_20kouzou104_NAME</vt:lpstr>
      <vt:lpstr>cst_wskakunin_20kouzou105_KOUZOUSEKKEI_KOUFU_NO</vt:lpstr>
      <vt:lpstr>cst_wskakunin_20kouzou105_NAME</vt:lpstr>
      <vt:lpstr>cst_wskakunin_20kouzou301_KOUZOUSEKKEI_KOUFU_NO</vt:lpstr>
      <vt:lpstr>cst_wskakunin_20kouzou301_NAME</vt:lpstr>
      <vt:lpstr>cst_wskakunin_20kouzou302_KOUZOUSEKKEI_KOUFU_NO</vt:lpstr>
      <vt:lpstr>cst_wskakunin_20kouzou302_NAME</vt:lpstr>
      <vt:lpstr>cst_wskakunin_20kouzou303_KOUZOUSEKKEI_KOUFU_NO</vt:lpstr>
      <vt:lpstr>cst_wskakunin_20kouzou303_NAME</vt:lpstr>
      <vt:lpstr>cst_wskakunin_20kouzou304_KOUZOUSEKKEI_KOUFU_NO</vt:lpstr>
      <vt:lpstr>cst_wskakunin_20kouzou304_NAME</vt:lpstr>
      <vt:lpstr>cst_wskakunin_20kouzou305_KOUZOUSEKKEI_KOUFU_NO</vt:lpstr>
      <vt:lpstr>cst_wskakunin_20kouzou305_NAME</vt:lpstr>
      <vt:lpstr>cst_wskakunin_20setubi101_NAME</vt:lpstr>
      <vt:lpstr>cst_wskakunin_20setubi101_SETUBISEKKEI_KOUFU_NO</vt:lpstr>
      <vt:lpstr>cst_wskakunin_20setubi102_NAME</vt:lpstr>
      <vt:lpstr>cst_wskakunin_20setubi102_SETUBISEKKEI_KOUFU_NO</vt:lpstr>
      <vt:lpstr>cst_wskakunin_20setubi103_NAME</vt:lpstr>
      <vt:lpstr>cst_wskakunin_20setubi103_SETUBISEKKEI_KOUFU_NO</vt:lpstr>
      <vt:lpstr>cst_wskakunin_20setubi104_NAME</vt:lpstr>
      <vt:lpstr>cst_wskakunin_20setubi104_SETUBISEKKEI_KOUFU_NO</vt:lpstr>
      <vt:lpstr>cst_wskakunin_20setubi105_NAME</vt:lpstr>
      <vt:lpstr>cst_wskakunin_20setubi105_SETUBISEKKEI_KOUFU_NO</vt:lpstr>
      <vt:lpstr>cst_wskakunin_20setubi301_NAME</vt:lpstr>
      <vt:lpstr>cst_wskakunin_20setubi301_SETUBISEKKEI_KOUFU_NO</vt:lpstr>
      <vt:lpstr>cst_wskakunin_20setubi302_NAME</vt:lpstr>
      <vt:lpstr>cst_wskakunin_20setubi302_SETUBISEKKEI_KOUFU_NO</vt:lpstr>
      <vt:lpstr>cst_wskakunin_20setubi303_NAME</vt:lpstr>
      <vt:lpstr>cst_wskakunin_20setubi303_SETUBISEKKEI_KOUFU_NO</vt:lpstr>
      <vt:lpstr>cst_wskakunin_20setubi304_NAME</vt:lpstr>
      <vt:lpstr>cst_wskakunin_20setubi304_SETUBISEKKEI_KOUFU_NO</vt:lpstr>
      <vt:lpstr>cst_wskakunin_20setubi305_NAME</vt:lpstr>
      <vt:lpstr>cst_wskakunin_20setubi305_SETUBISEKKEI_KOUFU_NO</vt:lpstr>
      <vt:lpstr>cst_wskakunin_APPLICANT_NAME</vt:lpstr>
      <vt:lpstr>cst_wskakunin_BOUKA_22JYO</vt:lpstr>
      <vt:lpstr>cst_wskakunin_BOUKA_BOUKA</vt:lpstr>
      <vt:lpstr>cst_wskakunin_BOUKA_JYUN_BOUKA</vt:lpstr>
      <vt:lpstr>cst_wskakunin_BOUKA_NASI</vt:lpstr>
      <vt:lpstr>cst_wskakunin_BOUKA_SETUBI_FLAG</vt:lpstr>
      <vt:lpstr>cst_wskakunin_BOUKA_SETUBI_FLAG_box_off</vt:lpstr>
      <vt:lpstr>cst_wskakunin_BOUKA_SETUBI_FLAG_box_on</vt:lpstr>
      <vt:lpstr>cst_wskakunin_BUILD__address</vt:lpstr>
      <vt:lpstr>cst_wskakunin_BUILD_ADDRESS</vt:lpstr>
      <vt:lpstr>cst_wskakunin_BUILD_JYUKYO__address</vt:lpstr>
      <vt:lpstr>cst_wskakunin_BUILD_JYUKYO_ADDRESS</vt:lpstr>
      <vt:lpstr>cst_wskakunin_BUILD_JYUKYO_KEN__ken</vt:lpstr>
      <vt:lpstr>cst_wskakunin_BUILD_KEN__ken</vt:lpstr>
      <vt:lpstr>cst_wskakunin_BUILD_NAME</vt:lpstr>
      <vt:lpstr>cst_wskakunin_BUILD_NAME_KANA</vt:lpstr>
      <vt:lpstr>cst_wskakunin_BUILD_SHINSEI_COUNT</vt:lpstr>
      <vt:lpstr>cst_wskakunin_BUILD_SONOTA_COUNT</vt:lpstr>
      <vt:lpstr>cst_wskakunin_dairi1__address</vt:lpstr>
      <vt:lpstr>cst_wskakunin_dairi1__sikaku</vt:lpstr>
      <vt:lpstr>cst_wskakunin_dairi1__space</vt:lpstr>
      <vt:lpstr>cst_wskakunin_dairi1__space2</vt:lpstr>
      <vt:lpstr>cst_wskakunin_dairi1_FAX</vt:lpstr>
      <vt:lpstr>cst_wskakunin_dairi1_JIMU__sikaku</vt:lpstr>
      <vt:lpstr>cst_wskakunin_dairi1_JIMU_NAME</vt:lpstr>
      <vt:lpstr>cst_wskakunin_dairi1_JIMU_NO</vt:lpstr>
      <vt:lpstr>cst_wskakunin_dairi1_JIMU_SIKAKU</vt:lpstr>
      <vt:lpstr>cst_wskakunin_dairi1_JIMU_TOUROKU_KIKAN</vt:lpstr>
      <vt:lpstr>cst_wskakunin_dairi1_KENTIKUSI_NO</vt:lpstr>
      <vt:lpstr>cst_wskakunin_dairi1_NAME</vt:lpstr>
      <vt:lpstr>cst_wskakunin_dairi1_NAME_KANA</vt:lpstr>
      <vt:lpstr>cst_wskakunin_dairi1_SIKAKU</vt:lpstr>
      <vt:lpstr>cst_wskakunin_dairi1_TEL</vt:lpstr>
      <vt:lpstr>cst_wskakunin_dairi1_TEL_dsp</vt:lpstr>
      <vt:lpstr>cst_wskakunin_dairi1_TOUROKU_KIKAN</vt:lpstr>
      <vt:lpstr>cst_wskakunin_dairi1_ZIP</vt:lpstr>
      <vt:lpstr>cst_wskakunin_dairi2__address</vt:lpstr>
      <vt:lpstr>cst_wskakunin_dairi2__sikaku</vt:lpstr>
      <vt:lpstr>cst_wskakunin_dairi2__space</vt:lpstr>
      <vt:lpstr>cst_wskakunin_dairi2_FAX</vt:lpstr>
      <vt:lpstr>cst_wskakunin_dairi2_JIMU__sikaku</vt:lpstr>
      <vt:lpstr>cst_wskakunin_dairi2_JIMU_NAME</vt:lpstr>
      <vt:lpstr>cst_wskakunin_dairi2_JIMU_NO</vt:lpstr>
      <vt:lpstr>cst_wskakunin_dairi2_JIMU_SIKAKU</vt:lpstr>
      <vt:lpstr>cst_wskakunin_dairi2_JIMU_TOUROKU_KIKAN</vt:lpstr>
      <vt:lpstr>cst_wskakunin_dairi2_KENTIKUSI_NO</vt:lpstr>
      <vt:lpstr>cst_wskakunin_dairi2_NAME</vt:lpstr>
      <vt:lpstr>cst_wskakunin_dairi2_NAME_KANA</vt:lpstr>
      <vt:lpstr>cst_wskakunin_dairi2_SIKAKU</vt:lpstr>
      <vt:lpstr>cst_wskakunin_dairi2_TEL</vt:lpstr>
      <vt:lpstr>cst_wskakunin_dairi2_TOUROKU_KIKAN</vt:lpstr>
      <vt:lpstr>cst_wskakunin_dairi2_ZIP</vt:lpstr>
      <vt:lpstr>cst_wskakunin_dairi3__address</vt:lpstr>
      <vt:lpstr>cst_wskakunin_dairi3__sikaku</vt:lpstr>
      <vt:lpstr>cst_wskakunin_dairi3__space</vt:lpstr>
      <vt:lpstr>cst_wskakunin_dairi3_FAX</vt:lpstr>
      <vt:lpstr>cst_wskakunin_dairi3_JIMU__sikaku</vt:lpstr>
      <vt:lpstr>cst_wskakunin_dairi3_JIMU_NAME</vt:lpstr>
      <vt:lpstr>cst_wskakunin_dairi3_JIMU_NO</vt:lpstr>
      <vt:lpstr>cst_wskakunin_dairi3_JIMU_SIKAKU</vt:lpstr>
      <vt:lpstr>cst_wskakunin_dairi3_JIMU_TOUROKU_KIKAN</vt:lpstr>
      <vt:lpstr>cst_wskakunin_dairi3_KENTIKUSI_NO</vt:lpstr>
      <vt:lpstr>cst_wskakunin_dairi3_NAME</vt:lpstr>
      <vt:lpstr>cst_wskakunin_dairi3_NAME_KANA</vt:lpstr>
      <vt:lpstr>cst_wskakunin_dairi3_SIKAKU</vt:lpstr>
      <vt:lpstr>cst_wskakunin_dairi3_TEL</vt:lpstr>
      <vt:lpstr>cst_wskakunin_dairi3_TOUROKU_KIKAN</vt:lpstr>
      <vt:lpstr>cst_wskakunin_dairi3_ZIP</vt:lpstr>
      <vt:lpstr>cst_wskakunin_dairi4__address</vt:lpstr>
      <vt:lpstr>cst_wskakunin_dairi4__sikaku</vt:lpstr>
      <vt:lpstr>cst_wskakunin_dairi4__space</vt:lpstr>
      <vt:lpstr>cst_wskakunin_dairi4_FAX</vt:lpstr>
      <vt:lpstr>cst_wskakunin_dairi4_JIMU__sikaku</vt:lpstr>
      <vt:lpstr>cst_wskakunin_dairi4_JIMU_NAME</vt:lpstr>
      <vt:lpstr>cst_wskakunin_dairi4_JIMU_NO</vt:lpstr>
      <vt:lpstr>cst_wskakunin_dairi4_JIMU_SIKAKU</vt:lpstr>
      <vt:lpstr>cst_wskakunin_dairi4_JIMU_TOUROKU_KIKAN</vt:lpstr>
      <vt:lpstr>cst_wskakunin_dairi4_KENTIKUSI_NO</vt:lpstr>
      <vt:lpstr>cst_wskakunin_dairi4_NAME</vt:lpstr>
      <vt:lpstr>cst_wskakunin_dairi4_NAME_KANA</vt:lpstr>
      <vt:lpstr>cst_wskakunin_dairi4_SIKAKU</vt:lpstr>
      <vt:lpstr>cst_wskakunin_dairi4_TEL</vt:lpstr>
      <vt:lpstr>cst_wskakunin_dairi4_TOUROKU_KIKAN</vt:lpstr>
      <vt:lpstr>cst_wskakunin_dairi4_ZIP</vt:lpstr>
      <vt:lpstr>cst_wskakunin_dairi5__address</vt:lpstr>
      <vt:lpstr>cst_wskakunin_dairi5__sikaku</vt:lpstr>
      <vt:lpstr>cst_wskakunin_dairi5__space</vt:lpstr>
      <vt:lpstr>cst_wskakunin_dairi5_FAX</vt:lpstr>
      <vt:lpstr>cst_wskakunin_dairi5_JIMU__sikaku</vt:lpstr>
      <vt:lpstr>cst_wskakunin_dairi5_JIMU_NAME</vt:lpstr>
      <vt:lpstr>cst_wskakunin_dairi5_JIMU_NO</vt:lpstr>
      <vt:lpstr>cst_wskakunin_dairi5_JIMU_SIKAKU</vt:lpstr>
      <vt:lpstr>cst_wskakunin_dairi5_JIMU_TOUROKU_KIKAN</vt:lpstr>
      <vt:lpstr>cst_wskakunin_dairi5_KENTIKUSI_NO</vt:lpstr>
      <vt:lpstr>cst_wskakunin_dairi5_NAME</vt:lpstr>
      <vt:lpstr>cst_wskakunin_dairi5_NAME_KANA</vt:lpstr>
      <vt:lpstr>cst_wskakunin_dairi5_SIKAKU</vt:lpstr>
      <vt:lpstr>cst_wskakunin_dairi5_TEL</vt:lpstr>
      <vt:lpstr>cst_wskakunin_dairi5_TOUROKU_KIKAN</vt:lpstr>
      <vt:lpstr>cst_wskakunin_dairi5_ZIP</vt:lpstr>
      <vt:lpstr>cst_wskakunin_DOURO_FUKUIN</vt:lpstr>
      <vt:lpstr>cst_wskakunin_DOURO_NAGASA</vt:lpstr>
      <vt:lpstr>cst_wskakunin_ecotekihan01_FUYOU_CAUSE</vt:lpstr>
      <vt:lpstr>cst_wskakunin_ecotekihan01_miteisyutu_kikan_info</vt:lpstr>
      <vt:lpstr>cst_wskakunin_ecotekihan01_teisyutu_kikan_info</vt:lpstr>
      <vt:lpstr>cst_wskakunin_ecotekihan01_TEKIHAN_KIKAN_ADDRESS</vt:lpstr>
      <vt:lpstr>cst_wskakunin_ecotekihan01_TEKIHAN_KIKAN_KEN__ken</vt:lpstr>
      <vt:lpstr>cst_wskakunin_ecotekihan01_TEKIHAN_KIKAN_NAME</vt:lpstr>
      <vt:lpstr>cst_wskakunin_ecotekihan01_TEKIHAN_STATE_miteisyutu</vt:lpstr>
      <vt:lpstr>cst_wskakunin_ecotekihan01_TEKIHAN_STATE_teisyutu</vt:lpstr>
      <vt:lpstr>cst_wskakunin_ecotekihan01_TEKIHAN_STATE_teisyutufuyou</vt:lpstr>
      <vt:lpstr>cst_wskakunin_gaiyou1_EV_KIND</vt:lpstr>
      <vt:lpstr>cst_wskakunin_gaiyou1_KOUJI_KAITIKU</vt:lpstr>
      <vt:lpstr>cst_wskakunin_gaiyou1_KOUJI_SINTIKU</vt:lpstr>
      <vt:lpstr>cst_wskakunin_gaiyou1_KOUJI_SONOTA</vt:lpstr>
      <vt:lpstr>cst_wskakunin_gaiyou1_KOUJI_SONOTA_TEXT</vt:lpstr>
      <vt:lpstr>cst_wskakunin_gaiyou1_KOUJI_ZOUTIKU</vt:lpstr>
      <vt:lpstr>cst_wskakunin_gaiyou1_KOUZOU</vt:lpstr>
      <vt:lpstr>cst_wskakunin_gaiyou1_NINSYOU_NO</vt:lpstr>
      <vt:lpstr>cst_wskakunin_gaiyou1_NO</vt:lpstr>
      <vt:lpstr>cst_wskakunin_gaiyou1_SEKISAI</vt:lpstr>
      <vt:lpstr>cst_wskakunin_gaiyou1_SONOTA</vt:lpstr>
      <vt:lpstr>cst_wskakunin_gaiyou1_SONOTA_and_NINSYOU_NO</vt:lpstr>
      <vt:lpstr>cst_wskakunin_gaiyou1_SPEED</vt:lpstr>
      <vt:lpstr>cst_wskakunin_gaiyou1_TAKASA</vt:lpstr>
      <vt:lpstr>cst_wskakunin_gaiyou1_TEIIN</vt:lpstr>
      <vt:lpstr>cst_wskakunin_gaiyou1_TIKUZOU_MENSEKI_IGAI</vt:lpstr>
      <vt:lpstr>cst_wskakunin_gaiyou1_TIKUZOU_MENSEKI_SHINSEI</vt:lpstr>
      <vt:lpstr>cst_wskakunin_gaiyou1_TIKUZOU_MENSEKI_TOTAL</vt:lpstr>
      <vt:lpstr>cst_wskakunin_gaiyou1_WORK_COUNT_IGAI</vt:lpstr>
      <vt:lpstr>cst_wskakunin_gaiyou1_WORK_COUNT_SHINSEI</vt:lpstr>
      <vt:lpstr>cst_wskakunin_gaiyou1_WORK_COUNT_TOTAL</vt:lpstr>
      <vt:lpstr>cst_wskakunin_gaiyou1_WORK_SYURUI</vt:lpstr>
      <vt:lpstr>cst_wskakunin_gaiyou1_WORK_SYURUI_CODE</vt:lpstr>
      <vt:lpstr>cst_wskakunin_gaiyou1_YOUTO</vt:lpstr>
      <vt:lpstr>cst_wskakunin_iken1__address</vt:lpstr>
      <vt:lpstr>cst_wskakunin_iken1_DOC</vt:lpstr>
      <vt:lpstr>cst_wskakunin_iken1_IKEN_NO</vt:lpstr>
      <vt:lpstr>cst_wskakunin_iken1_JIMU_NAME</vt:lpstr>
      <vt:lpstr>cst_wskakunin_iken1_NAME</vt:lpstr>
      <vt:lpstr>cst_wskakunin_iken1_TEL</vt:lpstr>
      <vt:lpstr>cst_wskakunin_iken1_ZIP</vt:lpstr>
      <vt:lpstr>cst_wskakunin_iken2__address</vt:lpstr>
      <vt:lpstr>cst_wskakunin_iken2_DOC</vt:lpstr>
      <vt:lpstr>cst_wskakunin_iken2_IKEN_NO</vt:lpstr>
      <vt:lpstr>cst_wskakunin_iken2_JIMU_NAME</vt:lpstr>
      <vt:lpstr>cst_wskakunin_iken2_NAME</vt:lpstr>
      <vt:lpstr>cst_wskakunin_iken2_TEL</vt:lpstr>
      <vt:lpstr>cst_wskakunin_iken2_ZIP</vt:lpstr>
      <vt:lpstr>cst_wskakunin_iken3__address</vt:lpstr>
      <vt:lpstr>cst_wskakunin_iken3_DOC</vt:lpstr>
      <vt:lpstr>cst_wskakunin_iken3_IKEN_NO</vt:lpstr>
      <vt:lpstr>cst_wskakunin_iken3_JIMU_NAME</vt:lpstr>
      <vt:lpstr>cst_wskakunin_iken3_NAME</vt:lpstr>
      <vt:lpstr>cst_wskakunin_iken3_TEL</vt:lpstr>
      <vt:lpstr>cst_wskakunin_iken3_ZIP</vt:lpstr>
      <vt:lpstr>cst_wskakunin_iken4__address</vt:lpstr>
      <vt:lpstr>cst_wskakunin_iken4_DOC</vt:lpstr>
      <vt:lpstr>cst_wskakunin_iken4_IKEN_NO</vt:lpstr>
      <vt:lpstr>cst_wskakunin_iken4_JIMU_NAME</vt:lpstr>
      <vt:lpstr>cst_wskakunin_iken4_NAME</vt:lpstr>
      <vt:lpstr>cst_wskakunin_iken4_TEL</vt:lpstr>
      <vt:lpstr>cst_wskakunin_iken4_ZIP</vt:lpstr>
      <vt:lpstr>cst_wskakunin_iken5__address</vt:lpstr>
      <vt:lpstr>cst_wskakunin_iken5_DOC</vt:lpstr>
      <vt:lpstr>cst_wskakunin_iken5_IKEN_NO</vt:lpstr>
      <vt:lpstr>cst_wskakunin_iken5_JIMU_NAME</vt:lpstr>
      <vt:lpstr>cst_wskakunin_iken5_NAME</vt:lpstr>
      <vt:lpstr>cst_wskakunin_iken5_TEL</vt:lpstr>
      <vt:lpstr>cst_wskakunin_iken5_ZIP</vt:lpstr>
      <vt:lpstr>cst_wskakunin_KAISU_TIJYOU_SHINSEI</vt:lpstr>
      <vt:lpstr>cst_wskakunin_KAISU_TIJYOU_SONOTA</vt:lpstr>
      <vt:lpstr>cst_wskakunin_KAISU_TIKA_SHINSEI__zero</vt:lpstr>
      <vt:lpstr>cst_wskakunin_KAISU_TIKA_SONOTA</vt:lpstr>
      <vt:lpstr>cst_wskakunin_kanri1__address</vt:lpstr>
      <vt:lpstr>cst_wskakunin_kanri1__sikaku</vt:lpstr>
      <vt:lpstr>cst_wskakunin_kanri1_DOC</vt:lpstr>
      <vt:lpstr>cst_wskakunin_kanri1_JIMU</vt:lpstr>
      <vt:lpstr>cst_wskakunin_kanri1_JIMU_NAME</vt:lpstr>
      <vt:lpstr>cst_wskakunin_kanri1_JIMU_NO</vt:lpstr>
      <vt:lpstr>cst_wskakunin_kanri1_JIMU_SIKAKU</vt:lpstr>
      <vt:lpstr>cst_wskakunin_kanri1_JIMU_TOUROKU_KIKAN</vt:lpstr>
      <vt:lpstr>cst_wskakunin_kanri1_KENTIKUSI_NO</vt:lpstr>
      <vt:lpstr>cst_wskakunin_kanri1_NAME</vt:lpstr>
      <vt:lpstr>cst_wskakunin_kanri1_SIKAKU</vt:lpstr>
      <vt:lpstr>cst_wskakunin_kanri1_TEL</vt:lpstr>
      <vt:lpstr>cst_wskakunin_kanri1_TEL_dsp</vt:lpstr>
      <vt:lpstr>cst_wskakunin_kanri1_TOUROKU_KIKAN</vt:lpstr>
      <vt:lpstr>cst_wskakunin_kanri1_ZIP</vt:lpstr>
      <vt:lpstr>cst_wskakunin_kanri1_ZIP2</vt:lpstr>
      <vt:lpstr>cst_wskakunin_kanri10__address</vt:lpstr>
      <vt:lpstr>cst_wskakunin_kanri10__sikaku</vt:lpstr>
      <vt:lpstr>cst_wskakunin_kanri10_DOC</vt:lpstr>
      <vt:lpstr>cst_wskakunin_kanri10_JIMU__sikaku</vt:lpstr>
      <vt:lpstr>cst_wskakunin_kanri10_JIMU_NAME</vt:lpstr>
      <vt:lpstr>cst_wskakunin_kanri10_JIMU_NO</vt:lpstr>
      <vt:lpstr>cst_wskakunin_kanri10_JIMU_SIKAKU</vt:lpstr>
      <vt:lpstr>cst_wskakunin_kanri10_JIMU_TOUROKU_KIKAN</vt:lpstr>
      <vt:lpstr>cst_wskakunin_kanri10_KENTIKUSI_NO</vt:lpstr>
      <vt:lpstr>cst_wskakunin_kanri10_NAME</vt:lpstr>
      <vt:lpstr>cst_wskakunin_kanri10_SIKAKU</vt:lpstr>
      <vt:lpstr>cst_wskakunin_kanri10_TEL</vt:lpstr>
      <vt:lpstr>cst_wskakunin_kanri10_TOUROKU_KIKAN</vt:lpstr>
      <vt:lpstr>cst_wskakunin_kanri10_ZIP</vt:lpstr>
      <vt:lpstr>cst_wskakunin_kanri11__address</vt:lpstr>
      <vt:lpstr>cst_wskakunin_kanri11__sikaku</vt:lpstr>
      <vt:lpstr>cst_wskakunin_kanri11_DOC</vt:lpstr>
      <vt:lpstr>cst_wskakunin_kanri11_JIMU__sikaku</vt:lpstr>
      <vt:lpstr>cst_wskakunin_kanri11_JIMU_NAME</vt:lpstr>
      <vt:lpstr>cst_wskakunin_kanri11_JIMU_NO</vt:lpstr>
      <vt:lpstr>cst_wskakunin_kanri11_JIMU_SIKAKU</vt:lpstr>
      <vt:lpstr>cst_wskakunin_kanri11_JIMU_TOUROKU_KIKAN</vt:lpstr>
      <vt:lpstr>cst_wskakunin_kanri11_KENTIKUSI_NO</vt:lpstr>
      <vt:lpstr>cst_wskakunin_kanri11_NAME</vt:lpstr>
      <vt:lpstr>cst_wskakunin_kanri11_SIKAKU</vt:lpstr>
      <vt:lpstr>cst_wskakunin_kanri11_TEL</vt:lpstr>
      <vt:lpstr>cst_wskakunin_kanri11_TOUROKU_KIKAN</vt:lpstr>
      <vt:lpstr>cst_wskakunin_kanri11_ZIP</vt:lpstr>
      <vt:lpstr>cst_wskakunin_kanri12__address</vt:lpstr>
      <vt:lpstr>cst_wskakunin_kanri12__sikaku</vt:lpstr>
      <vt:lpstr>cst_wskakunin_kanri12_DOC</vt:lpstr>
      <vt:lpstr>cst_wskakunin_kanri12_JIMU__sikaku</vt:lpstr>
      <vt:lpstr>cst_wskakunin_kanri12_JIMU_NAME</vt:lpstr>
      <vt:lpstr>cst_wskakunin_kanri12_JIMU_NO</vt:lpstr>
      <vt:lpstr>cst_wskakunin_kanri12_JIMU_SIKAKU</vt:lpstr>
      <vt:lpstr>cst_wskakunin_kanri12_JIMU_TOUROKU_KIKAN</vt:lpstr>
      <vt:lpstr>cst_wskakunin_kanri12_KENTIKUSI_NO</vt:lpstr>
      <vt:lpstr>cst_wskakunin_kanri12_NAME</vt:lpstr>
      <vt:lpstr>cst_wskakunin_kanri12_SIKAKU</vt:lpstr>
      <vt:lpstr>cst_wskakunin_kanri12_TEL</vt:lpstr>
      <vt:lpstr>cst_wskakunin_kanri12_TOUROKU_KIKAN</vt:lpstr>
      <vt:lpstr>cst_wskakunin_kanri12_ZIP</vt:lpstr>
      <vt:lpstr>cst_wskakunin_kanri2__address</vt:lpstr>
      <vt:lpstr>cst_wskakunin_kanri2__sikaku</vt:lpstr>
      <vt:lpstr>cst_wskakunin_kanri2_DOC</vt:lpstr>
      <vt:lpstr>cst_wskakunin_kanri2_JIMU</vt:lpstr>
      <vt:lpstr>cst_wskakunin_kanri2_JIMU_NAME</vt:lpstr>
      <vt:lpstr>cst_wskakunin_kanri2_JIMU_NO</vt:lpstr>
      <vt:lpstr>cst_wskakunin_kanri2_JIMU_SIKAKU</vt:lpstr>
      <vt:lpstr>cst_wskakunin_kanri2_JIMU_TOUROKU_KIKAN</vt:lpstr>
      <vt:lpstr>cst_wskakunin_kanri2_KENTIKUSI_NO</vt:lpstr>
      <vt:lpstr>cst_wskakunin_kanri2_NAME</vt:lpstr>
      <vt:lpstr>cst_wskakunin_kanri2_SIKAKU</vt:lpstr>
      <vt:lpstr>cst_wskakunin_kanri2_TEL</vt:lpstr>
      <vt:lpstr>cst_wskakunin_kanri2_TOUROKU_KIKAN</vt:lpstr>
      <vt:lpstr>cst_wskakunin_kanri2_ZIP</vt:lpstr>
      <vt:lpstr>cst_wskakunin_kanri3__address</vt:lpstr>
      <vt:lpstr>cst_wskakunin_kanri3__sikaku</vt:lpstr>
      <vt:lpstr>cst_wskakunin_kanri3_DOC</vt:lpstr>
      <vt:lpstr>cst_wskakunin_kanri3_JIMU__sikaku</vt:lpstr>
      <vt:lpstr>cst_wskakunin_kanri3_JIMU_NAME</vt:lpstr>
      <vt:lpstr>cst_wskakunin_kanri3_JIMU_NO</vt:lpstr>
      <vt:lpstr>cst_wskakunin_kanri3_JIMU_SIKAKU</vt:lpstr>
      <vt:lpstr>cst_wskakunin_kanri3_JIMU_TOUROKU_KIKAN</vt:lpstr>
      <vt:lpstr>cst_wskakunin_kanri3_KENTIKUSI_NO</vt:lpstr>
      <vt:lpstr>cst_wskakunin_kanri3_NAME</vt:lpstr>
      <vt:lpstr>cst_wskakunin_kanri3_SIKAKU</vt:lpstr>
      <vt:lpstr>cst_wskakunin_kanri3_TEL</vt:lpstr>
      <vt:lpstr>cst_wskakunin_kanri3_TOUROKU_KIKAN</vt:lpstr>
      <vt:lpstr>cst_wskakunin_kanri3_ZIP</vt:lpstr>
      <vt:lpstr>cst_wskakunin_kanri4__address</vt:lpstr>
      <vt:lpstr>cst_wskakunin_kanri4__sikaku</vt:lpstr>
      <vt:lpstr>cst_wskakunin_kanri4_DOC</vt:lpstr>
      <vt:lpstr>cst_wskakunin_kanri4_JIMU__sikaku</vt:lpstr>
      <vt:lpstr>cst_wskakunin_kanri4_JIMU_NAME</vt:lpstr>
      <vt:lpstr>cst_wskakunin_kanri4_JIMU_NO</vt:lpstr>
      <vt:lpstr>cst_wskakunin_kanri4_JIMU_SIKAKU</vt:lpstr>
      <vt:lpstr>cst_wskakunin_kanri4_JIMU_TOUROKU_KIKAN</vt:lpstr>
      <vt:lpstr>cst_wskakunin_kanri4_KENTIKUSI_NO</vt:lpstr>
      <vt:lpstr>cst_wskakunin_kanri4_NAME</vt:lpstr>
      <vt:lpstr>cst_wskakunin_kanri4_SIKAKU</vt:lpstr>
      <vt:lpstr>cst_wskakunin_kanri4_TEL</vt:lpstr>
      <vt:lpstr>cst_wskakunin_kanri4_TOUROKU_KIKAN</vt:lpstr>
      <vt:lpstr>cst_wskakunin_kanri4_ZIP</vt:lpstr>
      <vt:lpstr>cst_wskakunin_kanri5__address</vt:lpstr>
      <vt:lpstr>cst_wskakunin_kanri5__sikaku</vt:lpstr>
      <vt:lpstr>cst_wskakunin_kanri5_DOC</vt:lpstr>
      <vt:lpstr>cst_wskakunin_kanri5_JIMU__sikaku</vt:lpstr>
      <vt:lpstr>cst_wskakunin_kanri5_JIMU_NAME</vt:lpstr>
      <vt:lpstr>cst_wskakunin_kanri5_JIMU_NO</vt:lpstr>
      <vt:lpstr>cst_wskakunin_kanri5_JIMU_SIKAKU</vt:lpstr>
      <vt:lpstr>cst_wskakunin_kanri5_JIMU_TOUROKU_KIKAN</vt:lpstr>
      <vt:lpstr>cst_wskakunin_kanri5_KENTIKUSI_NO</vt:lpstr>
      <vt:lpstr>cst_wskakunin_kanri5_NAME</vt:lpstr>
      <vt:lpstr>cst_wskakunin_kanri5_SIKAKU</vt:lpstr>
      <vt:lpstr>cst_wskakunin_kanri5_TEL</vt:lpstr>
      <vt:lpstr>cst_wskakunin_kanri5_TOUROKU_KIKAN</vt:lpstr>
      <vt:lpstr>cst_wskakunin_kanri5_ZIP</vt:lpstr>
      <vt:lpstr>cst_wskakunin_kanri6__address</vt:lpstr>
      <vt:lpstr>cst_wskakunin_kanri6__sikaku</vt:lpstr>
      <vt:lpstr>cst_wskakunin_kanri6_DOC</vt:lpstr>
      <vt:lpstr>cst_wskakunin_kanri6_JIMU__sikaku</vt:lpstr>
      <vt:lpstr>cst_wskakunin_kanri6_JIMU_NAME</vt:lpstr>
      <vt:lpstr>cst_wskakunin_kanri6_JIMU_NO</vt:lpstr>
      <vt:lpstr>cst_wskakunin_kanri6_JIMU_SIKAKU</vt:lpstr>
      <vt:lpstr>cst_wskakunin_kanri6_JIMU_TOUROKU_KIKAN</vt:lpstr>
      <vt:lpstr>cst_wskakunin_kanri6_KENTIKUSI_NO</vt:lpstr>
      <vt:lpstr>cst_wskakunin_kanri6_NAME</vt:lpstr>
      <vt:lpstr>cst_wskakunin_kanri6_SIKAKU</vt:lpstr>
      <vt:lpstr>cst_wskakunin_kanri6_TEL</vt:lpstr>
      <vt:lpstr>cst_wskakunin_kanri6_TOUROKU_KIKAN</vt:lpstr>
      <vt:lpstr>cst_wskakunin_kanri6_ZIP</vt:lpstr>
      <vt:lpstr>cst_wskakunin_kanri7__address</vt:lpstr>
      <vt:lpstr>cst_wskakunin_kanri7__sikaku</vt:lpstr>
      <vt:lpstr>cst_wskakunin_kanri7_DOC</vt:lpstr>
      <vt:lpstr>cst_wskakunin_kanri7_JIMU__sikaku</vt:lpstr>
      <vt:lpstr>cst_wskakunin_kanri7_JIMU_NAME</vt:lpstr>
      <vt:lpstr>cst_wskakunin_kanri7_JIMU_NO</vt:lpstr>
      <vt:lpstr>cst_wskakunin_kanri7_JIMU_SIKAKU</vt:lpstr>
      <vt:lpstr>cst_wskakunin_kanri7_JIMU_TOUROKU_KIKAN</vt:lpstr>
      <vt:lpstr>cst_wskakunin_kanri7_KENTIKUSI_NO</vt:lpstr>
      <vt:lpstr>cst_wskakunin_kanri7_NAME</vt:lpstr>
      <vt:lpstr>cst_wskakunin_kanri7_SIKAKU</vt:lpstr>
      <vt:lpstr>cst_wskakunin_kanri7_TEL</vt:lpstr>
      <vt:lpstr>cst_wskakunin_kanri7_TOUROKU_KIKAN</vt:lpstr>
      <vt:lpstr>cst_wskakunin_kanri7_ZIP</vt:lpstr>
      <vt:lpstr>cst_wskakunin_kanri8__address</vt:lpstr>
      <vt:lpstr>cst_wskakunin_kanri8__sikaku</vt:lpstr>
      <vt:lpstr>cst_wskakunin_kanri8_DOC</vt:lpstr>
      <vt:lpstr>cst_wskakunin_kanri8_JIMU__sikaku</vt:lpstr>
      <vt:lpstr>cst_wskakunin_kanri8_JIMU_NAME</vt:lpstr>
      <vt:lpstr>cst_wskakunin_kanri8_JIMU_NO</vt:lpstr>
      <vt:lpstr>cst_wskakunin_kanri8_JIMU_SIKAKU</vt:lpstr>
      <vt:lpstr>cst_wskakunin_kanri8_JIMU_TOUROKU_KIKAN</vt:lpstr>
      <vt:lpstr>cst_wskakunin_kanri8_KENTIKUSI_NO</vt:lpstr>
      <vt:lpstr>cst_wskakunin_kanri8_NAME</vt:lpstr>
      <vt:lpstr>cst_wskakunin_kanri8_SIKAKU</vt:lpstr>
      <vt:lpstr>cst_wskakunin_kanri8_TEL</vt:lpstr>
      <vt:lpstr>cst_wskakunin_kanri8_TOUROKU_KIKAN</vt:lpstr>
      <vt:lpstr>cst_wskakunin_kanri8_ZIP</vt:lpstr>
      <vt:lpstr>cst_wskakunin_kanri9__address</vt:lpstr>
      <vt:lpstr>cst_wskakunin_kanri9__sikaku</vt:lpstr>
      <vt:lpstr>cst_wskakunin_kanri9_DOC</vt:lpstr>
      <vt:lpstr>cst_wskakunin_kanri9_JIMU__sikaku</vt:lpstr>
      <vt:lpstr>cst_wskakunin_kanri9_JIMU_NAME</vt:lpstr>
      <vt:lpstr>cst_wskakunin_kanri9_JIMU_NO</vt:lpstr>
      <vt:lpstr>cst_wskakunin_kanri9_JIMU_SIKAKU</vt:lpstr>
      <vt:lpstr>cst_wskakunin_kanri9_JIMU_TOUROKU_KIKAN</vt:lpstr>
      <vt:lpstr>cst_wskakunin_kanri9_KENTIKUSI_NO</vt:lpstr>
      <vt:lpstr>cst_wskakunin_kanri9_NAME</vt:lpstr>
      <vt:lpstr>cst_wskakunin_kanri9_SIKAKU</vt:lpstr>
      <vt:lpstr>cst_wskakunin_kanri9_TEL</vt:lpstr>
      <vt:lpstr>cst_wskakunin_kanri9_TOUROKU_KIKAN</vt:lpstr>
      <vt:lpstr>cst_wskakunin_kanri9_ZIP</vt:lpstr>
      <vt:lpstr>cst_wskakunin_keibi_henkou01_HENKOU_GAIYOU</vt:lpstr>
      <vt:lpstr>cst_wskakunin_keibi_henkou01_HENKOU_SYURUI</vt:lpstr>
      <vt:lpstr>cst_wskakunin_KENPEI_RITU</vt:lpstr>
      <vt:lpstr>cst_wskakunin_KENPEI_RITU_A</vt:lpstr>
      <vt:lpstr>cst_wskakunin_KENPEI_RITU_B</vt:lpstr>
      <vt:lpstr>cst_wskakunin_KENPEI_RITU_C</vt:lpstr>
      <vt:lpstr>cst_wskakunin_KENPEI_RITU_D</vt:lpstr>
      <vt:lpstr>cst_wskakunin_KENSA_YUKA_MENSEKI_select</vt:lpstr>
      <vt:lpstr>cst_wskakunin_KENTIKU_MENSEKI_IGAI</vt:lpstr>
      <vt:lpstr>cst_wskakunin_KENTIKU_MENSEKI_SHINSEI</vt:lpstr>
      <vt:lpstr>cst_wskakunin_KENTIKU_MENSEKI_TOTAL</vt:lpstr>
      <vt:lpstr>cst_wskakunin_KENTIKU_NINSYO_NO</vt:lpstr>
      <vt:lpstr>cst_wskakunin_KIKAN_NAME</vt:lpstr>
      <vt:lpstr>cst_wskakunin_KOUJI_DAI_MOYOUGAE_box</vt:lpstr>
      <vt:lpstr>cst_wskakunin_KOUJI_DAI_SYUUZEN_box</vt:lpstr>
      <vt:lpstr>cst_wskakunin_KOUJI_ITEN_box</vt:lpstr>
      <vt:lpstr>cst_wskakunin_KOUJI_KAITIKU_box</vt:lpstr>
      <vt:lpstr>cst_wskakunin_KOUJI_KANRYOU_DATE_select</vt:lpstr>
      <vt:lpstr>cst_wskakunin_KOUJI_KANRYOU_YOTEI_DATE</vt:lpstr>
      <vt:lpstr>cst_wskakunin_KOUJI_KANRYOU_YOTEI_DATE_select</vt:lpstr>
      <vt:lpstr>cst_wskakunin_KOUJI_SETUBI_box</vt:lpstr>
      <vt:lpstr>cst_wskakunin_KOUJI_SINTIKU_box</vt:lpstr>
      <vt:lpstr>cst_wskakunin_KOUJI_TYAKUSYU_DATE_select</vt:lpstr>
      <vt:lpstr>cst_wskakunin_KOUJI_TYAKUSYU_YOTEI_DATE</vt:lpstr>
      <vt:lpstr>cst_wskakunin_KOUJI_YOUTOHENKOU_box</vt:lpstr>
      <vt:lpstr>cst_wskakunin_KOUJI_zoukaitiku_box</vt:lpstr>
      <vt:lpstr>cst_wskakunin_KOUJI_ZOUTIKU_box</vt:lpstr>
      <vt:lpstr>cst_wskakunin_koutei_ikou01_KOUTEI_DATE</vt:lpstr>
      <vt:lpstr>cst_wskakunin_koutei_ikou01_KOUTEI_DATE_inter1</vt:lpstr>
      <vt:lpstr>cst_wskakunin_koutei_ikou01_KOUTEI_DATE_inter2</vt:lpstr>
      <vt:lpstr>cst_wskakunin_koutei_ikou01_KOUTEI_KAISUU</vt:lpstr>
      <vt:lpstr>cst_wskakunin_koutei_ikou01_KOUTEI_KAISUU_inter1</vt:lpstr>
      <vt:lpstr>cst_wskakunin_koutei_ikou01_KOUTEI_KAISUU_inter2</vt:lpstr>
      <vt:lpstr>cst_wskakunin_koutei_ikou01_KOUTEI_TEXT</vt:lpstr>
      <vt:lpstr>cst_wskakunin_koutei_ikou01_KOUTEI_TEXT_inter1</vt:lpstr>
      <vt:lpstr>cst_wskakunin_koutei_ikou01_KOUTEI_TEXT_inter2</vt:lpstr>
      <vt:lpstr>cst_wskakunin_koutei_ikou02_KOUTEI_DATE</vt:lpstr>
      <vt:lpstr>cst_wskakunin_koutei_ikou02_KOUTEI_DATE_inter1</vt:lpstr>
      <vt:lpstr>cst_wskakunin_koutei_ikou02_KOUTEI_DATE_inter2</vt:lpstr>
      <vt:lpstr>cst_wskakunin_koutei_ikou02_KOUTEI_KAISUU</vt:lpstr>
      <vt:lpstr>cst_wskakunin_koutei_ikou02_KOUTEI_KAISUU_inter1</vt:lpstr>
      <vt:lpstr>cst_wskakunin_koutei_ikou02_KOUTEI_KAISUU_inter2</vt:lpstr>
      <vt:lpstr>cst_wskakunin_koutei_ikou02_KOUTEI_TEXT</vt:lpstr>
      <vt:lpstr>cst_wskakunin_koutei_ikou02_KOUTEI_TEXT_inter1</vt:lpstr>
      <vt:lpstr>cst_wskakunin_koutei_ikou02_KOUTEI_TEXT_inter2</vt:lpstr>
      <vt:lpstr>cst_wskakunin_koutei_izen01_INTER_ISSUE_DATE</vt:lpstr>
      <vt:lpstr>cst_wskakunin_koutei_izen01_INTER_ISSUE_DATE_inter1</vt:lpstr>
      <vt:lpstr>cst_wskakunin_koutei_izen01_INTER_ISSUE_DATE_inter2</vt:lpstr>
      <vt:lpstr>cst_wskakunin_koutei_izen01_INTER_ISSUE_NAME</vt:lpstr>
      <vt:lpstr>cst_wskakunin_koutei_izen01_INTER_ISSUE_NAME_inter1</vt:lpstr>
      <vt:lpstr>cst_wskakunin_koutei_izen01_INTER_ISSUE_NAME_inter2</vt:lpstr>
      <vt:lpstr>cst_wskakunin_koutei_izen01_INTER_ISSUE_NO</vt:lpstr>
      <vt:lpstr>cst_wskakunin_koutei_izen01_INTER_ISSUE_NO_inter1</vt:lpstr>
      <vt:lpstr>cst_wskakunin_koutei_izen01_INTER_ISSUE_NO_inter2</vt:lpstr>
      <vt:lpstr>cst_wskakunin_koutei_izen01_KOUTEI_KAISUU</vt:lpstr>
      <vt:lpstr>cst_wskakunin_koutei_izen01_KOUTEI_KAISUU_inter1</vt:lpstr>
      <vt:lpstr>cst_wskakunin_koutei_izen01_KOUTEI_KAISUU_inter2</vt:lpstr>
      <vt:lpstr>cst_wskakunin_koutei_izen01_KOUTEI_TEXT</vt:lpstr>
      <vt:lpstr>cst_wskakunin_koutei_izen01_KOUTEI_TEXT_inter1</vt:lpstr>
      <vt:lpstr>cst_wskakunin_koutei_izen01_KOUTEI_TEXT_inter2</vt:lpstr>
      <vt:lpstr>cst_wskakunin_koutei_izen02_INTER_ISSUE_DATE</vt:lpstr>
      <vt:lpstr>cst_wskakunin_koutei_izen02_INTER_ISSUE_DATE_inter1</vt:lpstr>
      <vt:lpstr>cst_wskakunin_koutei_izen02_INTER_ISSUE_DATE_inter2</vt:lpstr>
      <vt:lpstr>cst_wskakunin_koutei_izen02_INTER_ISSUE_NAME</vt:lpstr>
      <vt:lpstr>cst_wskakunin_koutei_izen02_INTER_ISSUE_NAME_inter1</vt:lpstr>
      <vt:lpstr>cst_wskakunin_koutei_izen02_INTER_ISSUE_NAME_inter2</vt:lpstr>
      <vt:lpstr>cst_wskakunin_koutei_izen02_INTER_ISSUE_NO</vt:lpstr>
      <vt:lpstr>cst_wskakunin_koutei_izen02_INTER_ISSUE_NO_inter1</vt:lpstr>
      <vt:lpstr>cst_wskakunin_koutei_izen02_INTER_ISSUE_NO_inter2</vt:lpstr>
      <vt:lpstr>cst_wskakunin_koutei_izen02_KOUTEI_KAISUU</vt:lpstr>
      <vt:lpstr>cst_wskakunin_koutei_izen02_KOUTEI_KAISUU_inter1</vt:lpstr>
      <vt:lpstr>cst_wskakunin_koutei_izen02_KOUTEI_KAISUU_inter2</vt:lpstr>
      <vt:lpstr>cst_wskakunin_koutei_izen02_KOUTEI_TEXT</vt:lpstr>
      <vt:lpstr>cst_wskakunin_koutei_izen02_KOUTEI_TEXT_inter1</vt:lpstr>
      <vt:lpstr>cst_wskakunin_koutei_izen02_KOUTEI_TEXT_inter2</vt:lpstr>
      <vt:lpstr>cst_wskakunin_koutei_izen03_INTER_ISSUE_DATE</vt:lpstr>
      <vt:lpstr>cst_wskakunin_koutei_izen03_INTER_ISSUE_NAME</vt:lpstr>
      <vt:lpstr>cst_wskakunin_koutei_izen03_INTER_ISSUE_NO</vt:lpstr>
      <vt:lpstr>cst_wskakunin_koutei_izen03_KOUTEI_KAISUU</vt:lpstr>
      <vt:lpstr>cst_wskakunin_koutei_izen03_KOUTEI_TEXT</vt:lpstr>
      <vt:lpstr>cst_wskakunin_koutei_izen04_INTER_ISSUE_DATE</vt:lpstr>
      <vt:lpstr>cst_wskakunin_koutei_izen04_INTER_ISSUE_NAME</vt:lpstr>
      <vt:lpstr>cst_wskakunin_koutei_izen04_INTER_ISSUE_NO</vt:lpstr>
      <vt:lpstr>cst_wskakunin_koutei_izen04_KOUTEI_KAISUU</vt:lpstr>
      <vt:lpstr>cst_wskakunin_koutei_izen04_KOUTEI_TEXT</vt:lpstr>
      <vt:lpstr>cst_wskakunin_koutei_keika01_INTER_ISSUE_DATE_select</vt:lpstr>
      <vt:lpstr>cst_wskakunin_koutei_keika01_INTER_ISSUE_NAME_select</vt:lpstr>
      <vt:lpstr>cst_wskakunin_koutei_keika01_INTER_ISSUE_NO_select</vt:lpstr>
      <vt:lpstr>cst_wskakunin_koutei_keika01_KOUTEI_KAISUU_select</vt:lpstr>
      <vt:lpstr>cst_wskakunin_koutei_keika01_KOUTEI_TEXT_select</vt:lpstr>
      <vt:lpstr>cst_wskakunin_koutei_keika02_INTER_ISSUE_DATE_select</vt:lpstr>
      <vt:lpstr>cst_wskakunin_koutei_keika02_INTER_ISSUE_NAME_select</vt:lpstr>
      <vt:lpstr>cst_wskakunin_koutei_keika02_INTER_ISSUE_NO_select</vt:lpstr>
      <vt:lpstr>cst_wskakunin_koutei_keika02_KOUTEI_KAISUU_select</vt:lpstr>
      <vt:lpstr>cst_wskakunin_koutei_keika02_KOUTEI_TEXT_select</vt:lpstr>
      <vt:lpstr>cst_wskakunin_koutei01_INTER_ISSUE_DATE</vt:lpstr>
      <vt:lpstr>cst_wskakunin_koutei01_INTER_ISSUE_NAME</vt:lpstr>
      <vt:lpstr>cst_wskakunin_koutei01_INTER_ISSUE_NO</vt:lpstr>
      <vt:lpstr>cst_wskakunin_koutei01_KOUTEI_DATE</vt:lpstr>
      <vt:lpstr>cst_wskakunin_koutei01_KOUTEI_KAISUU</vt:lpstr>
      <vt:lpstr>cst_wskakunin_koutei01_KOUTEI_TEXT</vt:lpstr>
      <vt:lpstr>cst_wskakunin_koutei02_INTER_ISSUE_DATE</vt:lpstr>
      <vt:lpstr>cst_wskakunin_koutei02_INTER_ISSUE_NAME</vt:lpstr>
      <vt:lpstr>cst_wskakunin_koutei02_INTER_ISSUE_NO</vt:lpstr>
      <vt:lpstr>cst_wskakunin_koutei02_KOUTEI_DATE</vt:lpstr>
      <vt:lpstr>cst_wskakunin_koutei02_KOUTEI_KAISUU</vt:lpstr>
      <vt:lpstr>cst_wskakunin_koutei02_KOUTEI_TEXT</vt:lpstr>
      <vt:lpstr>cst_wskakunin_koutei03_KOUTEI_DATE</vt:lpstr>
      <vt:lpstr>cst_wskakunin_koutei03_KOUTEI_KAISUU</vt:lpstr>
      <vt:lpstr>cst_wskakunin_koutei03_KOUTEI_TEXT</vt:lpstr>
      <vt:lpstr>cst_wskakunin_koutei04_KOUTEI_DATE</vt:lpstr>
      <vt:lpstr>cst_wskakunin_koutei04_KOUTEI_KAISUU</vt:lpstr>
      <vt:lpstr>cst_wskakunin_koutei04_KOUTEI_TEXT</vt:lpstr>
      <vt:lpstr>cst_wskakunin_KOUZOU</vt:lpstr>
      <vt:lpstr>cst_wskakunin_KOUZOU_mokuzou</vt:lpstr>
      <vt:lpstr>cst_wskakunin_KOUZOU_zairai</vt:lpstr>
      <vt:lpstr>cst_wskakunin_KOUZOU1</vt:lpstr>
      <vt:lpstr>cst_wskakunin_KOUZOU2</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cst_wskakunin_kyoka_HOUREI_all</vt:lpstr>
      <vt:lpstr>cst_wskakunin_kyoka01_BIKOU</vt:lpstr>
      <vt:lpstr>cst_wskakunin_kyoka01_HOUREI</vt:lpstr>
      <vt:lpstr>cst_wskakunin_kyoka01_JOUKOU</vt:lpstr>
      <vt:lpstr>cst_wskakunin_kyoka01_KYOKA_DATE</vt:lpstr>
      <vt:lpstr>cst_wskakunin_kyoka01_KYOKA_NO</vt:lpstr>
      <vt:lpstr>cst_wskakunin_kyoka02_BIKOU</vt:lpstr>
      <vt:lpstr>cst_wskakunin_kyoka02_HOUREI</vt:lpstr>
      <vt:lpstr>cst_wskakunin_kyoka02_JOUKOU</vt:lpstr>
      <vt:lpstr>cst_wskakunin_kyoka02_KYOKA_DATE</vt:lpstr>
      <vt:lpstr>cst_wskakunin_kyoka02_KYOKA_NO</vt:lpstr>
      <vt:lpstr>cst_wskakunin_kyoka03_BIKOU</vt:lpstr>
      <vt:lpstr>cst_wskakunin_kyoka03_HOUREI</vt:lpstr>
      <vt:lpstr>cst_wskakunin_kyoka03_JOUKOU</vt:lpstr>
      <vt:lpstr>cst_wskakunin_kyoka03_KYOKA_DATE</vt:lpstr>
      <vt:lpstr>cst_wskakunin_kyoka03_KYOKA_NO</vt:lpstr>
      <vt:lpstr>cst_wskakunin_LAST_ISSUE_DATE</vt:lpstr>
      <vt:lpstr>cst_wskakunin_LAST_ISSUE_NAME</vt:lpstr>
      <vt:lpstr>cst_wskakunin_LAST_ISSUE_NO</vt:lpstr>
      <vt:lpstr>cst_wskakunin_LIMIT_KENPEI_RITU</vt:lpstr>
      <vt:lpstr>cst_wskakunin_LIMIT_YOUSEKI_RITU</vt:lpstr>
      <vt:lpstr>cst_wskakunin_NOBE_MENSEKI</vt:lpstr>
      <vt:lpstr>cst_wskakunin_NOBE_MENSEKI_BITIKUSOUKO_IGAI</vt:lpstr>
      <vt:lpstr>cst_wskakunin_NOBE_MENSEKI_BITIKUSOUKO_SHINSEI</vt:lpstr>
      <vt:lpstr>cst_wskakunin_NOBE_MENSEKI_BITIKUSOUKO_TOTAL</vt:lpstr>
      <vt:lpstr>cst_wskakunin_NOBE_MENSEKI_BUILD_IGAI</vt:lpstr>
      <vt:lpstr>cst_wskakunin_NOBE_MENSEKI_BUILD_SHINSEI</vt:lpstr>
      <vt:lpstr>cst_wskakunin_NOBE_MENSEKI_BUILD_TOTAL</vt:lpstr>
      <vt:lpstr>cst_wskakunin_NOBE_MENSEKI_CHOSUISOU_IGAI</vt:lpstr>
      <vt:lpstr>cst_wskakunin_NOBE_MENSEKI_CHOSUISOU_SHINSEI</vt:lpstr>
      <vt:lpstr>cst_wskakunin_NOBE_MENSEKI_CHOSUISOU_TOTAL</vt:lpstr>
      <vt:lpstr>cst_wskakunin_NOBE_MENSEKI_JIKAHATUDEN_IGAI</vt:lpstr>
      <vt:lpstr>cst_wskakunin_NOBE_MENSEKI_JIKAHATUDEN_SHINSEI</vt:lpstr>
      <vt:lpstr>cst_wskakunin_NOBE_MENSEKI_JIKAHATUDEN_TOTAL</vt:lpstr>
      <vt:lpstr>cst_wskakunin_NOBE_MENSEKI_JYUTAKU_IGAI</vt:lpstr>
      <vt:lpstr>cst_wskakunin_NOBE_MENSEKI_JYUTAKU_SHINSEI</vt:lpstr>
      <vt:lpstr>cst_wskakunin_NOBE_MENSEKI_JYUTAKU_TOTAL</vt:lpstr>
      <vt:lpstr>cst_wskakunin_NOBE_MENSEKI_KYOYOU_IGAI</vt:lpstr>
      <vt:lpstr>cst_wskakunin_NOBE_MENSEKI_KYOYOU_SHINSEI</vt:lpstr>
      <vt:lpstr>cst_wskakunin_NOBE_MENSEKI_KYOYOU_TOTAL</vt:lpstr>
      <vt:lpstr>cst_wskakunin_NOBE_MENSEKI_ROUJIN_IGAI</vt:lpstr>
      <vt:lpstr>cst_wskakunin_NOBE_MENSEKI_ROUJIN_SHINSEI</vt:lpstr>
      <vt:lpstr>cst_wskakunin_NOBE_MENSEKI_ROUJIN_TOTAL</vt:lpstr>
      <vt:lpstr>cst_wskakunin_NOBE_MENSEKI_SYAKO_IGAI</vt:lpstr>
      <vt:lpstr>cst_wskakunin_NOBE_MENSEKI_SYAKO_SHINSEI</vt:lpstr>
      <vt:lpstr>cst_wskakunin_NOBE_MENSEKI_SYAKO_TOTAL</vt:lpstr>
      <vt:lpstr>cst_wskakunin_NOBE_MENSEKI_SYOUKOURO_IGAI</vt:lpstr>
      <vt:lpstr>cst_wskakunin_NOBE_MENSEKI_SYOUKOURO_SHINSEI</vt:lpstr>
      <vt:lpstr>cst_wskakunin_NOBE_MENSEKI_SYOUKOURO_TOTAL</vt:lpstr>
      <vt:lpstr>cst_wskakunin_NOBE_MENSEKI_TAKUHAI_IGAI</vt:lpstr>
      <vt:lpstr>cst_wskakunin_NOBE_MENSEKI_TAKUHAI_SHINSEI</vt:lpstr>
      <vt:lpstr>cst_wskakunin_NOBE_MENSEKI_TAKUHAI_TOTAL</vt:lpstr>
      <vt:lpstr>cst_wskakunin_NOBE_MENSEKI_TIKAI_IGAI</vt:lpstr>
      <vt:lpstr>cst_wskakunin_NOBE_MENSEKI_TIKAI_SHINSEI</vt:lpstr>
      <vt:lpstr>cst_wskakunin_NOBE_MENSEKI_TIKAI_TOTAL</vt:lpstr>
      <vt:lpstr>cst_wskakunin_NOBE_MENSEKI_TIKUDENTI_IGAI</vt:lpstr>
      <vt:lpstr>cst_wskakunin_NOBE_MENSEKI_TIKUDENTI_SHINSEI</vt:lpstr>
      <vt:lpstr>cst_wskakunin_NOBE_MENSEKI_TIKUDENTI_TOTAL</vt:lpstr>
      <vt:lpstr>cst_wskakunin_owner1__address</vt:lpstr>
      <vt:lpstr>cst_wskakunin_owner1__line1</vt:lpstr>
      <vt:lpstr>cst_wskakunin_owner1__line2</vt:lpstr>
      <vt:lpstr>cst_wskakunin_owner1__space</vt:lpstr>
      <vt:lpstr>cst_wskakunin_owner1__space_KANA</vt:lpstr>
      <vt:lpstr>cst_wskakunin_owner1__space_KANA2</vt:lpstr>
      <vt:lpstr>cst_wskakunin_owner1__space2</vt:lpstr>
      <vt:lpstr>cst_wskakunin_owner1__space3</vt:lpstr>
      <vt:lpstr>cst_wskakunin_owner1__space4</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cst_wskakunin_owner1_TEL_dsp</vt:lpstr>
      <vt:lpstr>cst_wskakunin_owner1_ZIP</vt:lpstr>
      <vt:lpstr>cst_wskakunin_owner1_ZIP2</vt:lpstr>
      <vt:lpstr>cst_wskakunin_owner2__address</vt:lpstr>
      <vt:lpstr>cst_wskakunin_owner2__space</vt:lpstr>
      <vt:lpstr>cst_wskakunin_owner2__space2</vt:lpstr>
      <vt:lpstr>cst_wskakunin_owner2__space3</vt:lpstr>
      <vt:lpstr>cst_wskakunin_owner2_JIMU_NAME</vt:lpstr>
      <vt:lpstr>cst_wskakunin_owner2_JIMU_NAME_KANA</vt:lpstr>
      <vt:lpstr>cst_wskakunin_owner2_NAME</vt:lpstr>
      <vt:lpstr>cst_wskakunin_owner2_NAME_KANA</vt:lpstr>
      <vt:lpstr>cst_wskakunin_owner2_POST</vt:lpstr>
      <vt:lpstr>cst_wskakunin_owner2_POST_KANA</vt:lpstr>
      <vt:lpstr>cst_wskakunin_owner2_TEL</vt:lpstr>
      <vt:lpstr>cst_wskakunin_owner2_ZIP</vt:lpstr>
      <vt:lpstr>cst_wskakunin_owner3__address</vt:lpstr>
      <vt:lpstr>cst_wskakunin_owner3__space</vt:lpstr>
      <vt:lpstr>cst_wskakunin_owner3__space2</vt:lpstr>
      <vt:lpstr>cst_wskakunin_owner3_JIMU_NAME</vt:lpstr>
      <vt:lpstr>cst_wskakunin_owner3_JIMU_NAME_KANA</vt:lpstr>
      <vt:lpstr>cst_wskakunin_owner3_NAME</vt:lpstr>
      <vt:lpstr>cst_wskakunin_owner3_NAME_KANA</vt:lpstr>
      <vt:lpstr>cst_wskakunin_owner3_POST</vt:lpstr>
      <vt:lpstr>cst_wskakunin_owner3_POST_KANA</vt:lpstr>
      <vt:lpstr>cst_wskakunin_owner3_TEL</vt:lpstr>
      <vt:lpstr>cst_wskakunin_owner3_ZIP</vt:lpstr>
      <vt:lpstr>cst_wskakunin_owner4__address</vt:lpstr>
      <vt:lpstr>cst_wskakunin_owner4__space</vt:lpstr>
      <vt:lpstr>cst_wskakunin_owner4_JIMU_NAME</vt:lpstr>
      <vt:lpstr>cst_wskakunin_owner4_JIMU_NAME_KANA</vt:lpstr>
      <vt:lpstr>cst_wskakunin_owner4_NAME</vt:lpstr>
      <vt:lpstr>cst_wskakunin_owner4_NAME_KANA</vt:lpstr>
      <vt:lpstr>cst_wskakunin_owner4_POST</vt:lpstr>
      <vt:lpstr>cst_wskakunin_owner4_POST_KANA</vt:lpstr>
      <vt:lpstr>cst_wskakunin_owner4_TEL</vt:lpstr>
      <vt:lpstr>cst_wskakunin_owner4_ZIP</vt:lpstr>
      <vt:lpstr>cst_wskakunin_owner5__address</vt:lpstr>
      <vt:lpstr>cst_wskakunin_owner5__space</vt:lpstr>
      <vt:lpstr>cst_wskakunin_owner5_JIMU_NAME</vt:lpstr>
      <vt:lpstr>cst_wskakunin_owner5_JIMU_NAME_KANA</vt:lpstr>
      <vt:lpstr>cst_wskakunin_owner5_NAME</vt:lpstr>
      <vt:lpstr>cst_wskakunin_owner5_NAME_KANA</vt:lpstr>
      <vt:lpstr>cst_wskakunin_owner5_POST</vt:lpstr>
      <vt:lpstr>cst_wskakunin_owner5_POST_KANA</vt:lpstr>
      <vt:lpstr>cst_wskakunin_owner5_TEL</vt:lpstr>
      <vt:lpstr>cst_wskakunin_owner5_ZIP</vt:lpstr>
      <vt:lpstr>cst_wskakunin_owner6__address</vt:lpstr>
      <vt:lpstr>cst_wskakunin_owner6__space2</vt:lpstr>
      <vt:lpstr>cst_wskakunin_owner6__space3</vt:lpstr>
      <vt:lpstr>cst_wskakunin_owner6_JIMU_NAME</vt:lpstr>
      <vt:lpstr>cst_wskakunin_owner6_JIMU_NAME_KANA</vt:lpstr>
      <vt:lpstr>cst_wskakunin_owner6_NAME</vt:lpstr>
      <vt:lpstr>cst_wskakunin_owner6_NAME_KANA</vt:lpstr>
      <vt:lpstr>cst_wskakunin_owner6_POST</vt:lpstr>
      <vt:lpstr>cst_wskakunin_owner6_POST_KANA</vt:lpstr>
      <vt:lpstr>cst_wskakunin_owner6_TEL</vt:lpstr>
      <vt:lpstr>cst_wskakunin_owner6_ZIP</vt:lpstr>
      <vt:lpstr>cst_wskakunin_owner7__address</vt:lpstr>
      <vt:lpstr>cst_wskakunin_owner7_JIMU_NAME</vt:lpstr>
      <vt:lpstr>cst_wskakunin_owner7_JIMU_NAME_KANA</vt:lpstr>
      <vt:lpstr>cst_wskakunin_owner7_NAME</vt:lpstr>
      <vt:lpstr>cst_wskakunin_owner7_NAME_KANA</vt:lpstr>
      <vt:lpstr>cst_wskakunin_owner7_POST</vt:lpstr>
      <vt:lpstr>cst_wskakunin_owner7_POST_KANA</vt:lpstr>
      <vt:lpstr>cst_wskakunin_owner7_TEL</vt:lpstr>
      <vt:lpstr>cst_wskakunin_owner7_ZIP</vt:lpstr>
      <vt:lpstr>cst_wskakunin_owner8__address</vt:lpstr>
      <vt:lpstr>cst_wskakunin_owner8_JIMU_NAME</vt:lpstr>
      <vt:lpstr>cst_wskakunin_owner8_JIMU_NAME_KANA</vt:lpstr>
      <vt:lpstr>cst_wskakunin_owner8_NAME</vt:lpstr>
      <vt:lpstr>cst_wskakunin_owner8_NAME_KANA</vt:lpstr>
      <vt:lpstr>cst_wskakunin_owner8_POST</vt:lpstr>
      <vt:lpstr>cst_wskakunin_owner8_POST_KANA</vt:lpstr>
      <vt:lpstr>cst_wskakunin_owner8_TEL</vt:lpstr>
      <vt:lpstr>cst_wskakunin_owner8_ZIP</vt:lpstr>
      <vt:lpstr>cst_wskakunin_owner9__address</vt:lpstr>
      <vt:lpstr>cst_wskakunin_owner9_JIMU_NAME</vt:lpstr>
      <vt:lpstr>cst_wskakunin_owner9_JIMU_NAME_KANA</vt:lpstr>
      <vt:lpstr>cst_wskakunin_owner9_NAME</vt:lpstr>
      <vt:lpstr>cst_wskakunin_owner9_NAME_KANA</vt:lpstr>
      <vt:lpstr>cst_wskakunin_owner9_POST</vt:lpstr>
      <vt:lpstr>cst_wskakunin_owner9_POST_KANA</vt:lpstr>
      <vt:lpstr>cst_wskakunin_owner9_TEL</vt:lpstr>
      <vt:lpstr>cst_wskakunin_owner9_ZIP</vt:lpstr>
      <vt:lpstr>cst_wskakunin_P1_HENKOU_GAIYOU</vt:lpstr>
      <vt:lpstr>cst_wskakunin_P2_BIKOU</vt:lpstr>
      <vt:lpstr>cst_wskakunin_P3_BIKOU</vt:lpstr>
      <vt:lpstr>cst_wskakunin_P3_SONOTA</vt:lpstr>
      <vt:lpstr>cst_wskakunin_p4_1__kouji</vt:lpstr>
      <vt:lpstr>cst_wskakunin_p4_1_KAISU_TIKAI</vt:lpstr>
      <vt:lpstr>cst_wskakunin_p4_1_KAISU_TIKAI_NOZOKU</vt:lpstr>
      <vt:lpstr>cst_wskakunin_p4_1_KAISU_YUKA_MENSEKI_SHINSEI</vt:lpstr>
      <vt:lpstr>cst_wskakunin_p4_1_KOUZOU1</vt:lpstr>
      <vt:lpstr>cst_wskakunin_p4_1_KOUZOU2</vt:lpstr>
      <vt:lpstr>cst_wskakunin_p4_1_p5_1_KAI</vt:lpstr>
      <vt:lpstr>cst_wskakunin_p4_1_p5_1_P4_MENSEKI_SHINSEI</vt:lpstr>
      <vt:lpstr>cst_wskakunin_p4_1_p5_2_KAI</vt:lpstr>
      <vt:lpstr>cst_wskakunin_p4_1_p5_2_P4_MENSEKI_SHINSEI</vt:lpstr>
      <vt:lpstr>cst_wskakunin_p4_1_p5_3_KAI</vt:lpstr>
      <vt:lpstr>cst_wskakunin_p4_1_p5_3_P4_MENSEKI_SHINSEI</vt:lpstr>
      <vt:lpstr>cst_wskakunin_p4_1_TAKASA_KEN_MAX</vt:lpstr>
      <vt:lpstr>cst_wskakunin_p4_1_TAKASA_MAX</vt:lpstr>
      <vt:lpstr>cst_wskakunin_p4_1_TOKUREI_KAKUNIN_FLAG</vt:lpstr>
      <vt:lpstr>cst_wskakunin_p4_1_TOKUREI_KAKUNIN_FLAG_off</vt:lpstr>
      <vt:lpstr>cst_wskakunin_p4_1_TOKUREI_KAKUNIN_FLAG_on</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cst_wskakunin_PAGE1_ALTERATION_NOTE</vt:lpstr>
      <vt:lpstr>cst_wskakunin_sekkei1__address</vt:lpstr>
      <vt:lpstr>cst_wskakunin_sekkei1__sikaku</vt:lpstr>
      <vt:lpstr>cst_wskakunin_sekkei1_DOC</vt:lpstr>
      <vt:lpstr>cst_wskakunin_sekkei1_JIMU__sikaku</vt:lpstr>
      <vt:lpstr>cst_wskakunin_sekkei1_JIMU_NAME</vt:lpstr>
      <vt:lpstr>cst_wskakunin_sekkei1_JIMU_NO</vt:lpstr>
      <vt:lpstr>cst_wskakunin_sekkei1_JIMU_SIKAKU</vt:lpstr>
      <vt:lpstr>cst_wskakunin_sekkei1_JIMU_TOUROKU_KIKAN</vt:lpstr>
      <vt:lpstr>cst_wskakunin_sekkei1_jimuname_name</vt:lpstr>
      <vt:lpstr>cst_wskakunin_sekkei1_KENTIKUSI_NO</vt:lpstr>
      <vt:lpstr>cst_wskakunin_sekkei1_NAME</vt:lpstr>
      <vt:lpstr>cst_wskakunin_sekkei1_SIKAKU</vt:lpstr>
      <vt:lpstr>cst_wskakunin_sekkei1_TEL</vt:lpstr>
      <vt:lpstr>cst_wskakunin_sekkei1_TOUROKU_KIKAN</vt:lpstr>
      <vt:lpstr>cst_wskakunin_sekkei1_ZIP</vt:lpstr>
      <vt:lpstr>cst_wskakunin_sekkei10__address</vt:lpstr>
      <vt:lpstr>cst_wskakunin_sekkei10__sikaku</vt:lpstr>
      <vt:lpstr>cst_wskakunin_sekkei10_DOC</vt:lpstr>
      <vt:lpstr>cst_wskakunin_sekkei10_JIMU__sikaku</vt:lpstr>
      <vt:lpstr>cst_wskakunin_sekkei10_JIMU_NAME</vt:lpstr>
      <vt:lpstr>cst_wskakunin_sekkei10_JIMU_NO</vt:lpstr>
      <vt:lpstr>cst_wskakunin_sekkei10_JIMU_SIKAKU</vt:lpstr>
      <vt:lpstr>cst_wskakunin_sekkei10_JIMU_TOUROKU_KIKAN</vt:lpstr>
      <vt:lpstr>cst_wskakunin_sekkei10_jimuname_name</vt:lpstr>
      <vt:lpstr>cst_wskakunin_sekkei10_KENTIKUSI_NO</vt:lpstr>
      <vt:lpstr>cst_wskakunin_sekkei10_NAME</vt:lpstr>
      <vt:lpstr>cst_wskakunin_sekkei10_SIKAKU</vt:lpstr>
      <vt:lpstr>cst_wskakunin_sekkei10_TEL</vt:lpstr>
      <vt:lpstr>cst_wskakunin_sekkei10_TOUROKU_KIKAN</vt:lpstr>
      <vt:lpstr>cst_wskakunin_sekkei10_ZIP</vt:lpstr>
      <vt:lpstr>cst_wskakunin_sekkei11__address</vt:lpstr>
      <vt:lpstr>cst_wskakunin_sekkei11__sikaku</vt:lpstr>
      <vt:lpstr>cst_wskakunin_sekkei11_DOC</vt:lpstr>
      <vt:lpstr>cst_wskakunin_sekkei11_JIMU__sikaku</vt:lpstr>
      <vt:lpstr>cst_wskakunin_sekkei11_JIMU_NAME</vt:lpstr>
      <vt:lpstr>cst_wskakunin_sekkei11_JIMU_NO</vt:lpstr>
      <vt:lpstr>cst_wskakunin_sekkei11_JIMU_SIKAKU</vt:lpstr>
      <vt:lpstr>cst_wskakunin_sekkei11_JIMU_TOUROKU_KIKAN</vt:lpstr>
      <vt:lpstr>cst_wskakunin_sekkei11_jimuname_name</vt:lpstr>
      <vt:lpstr>cst_wskakunin_sekkei11_KENTIKUSI_NO</vt:lpstr>
      <vt:lpstr>cst_wskakunin_sekkei11_NAME</vt:lpstr>
      <vt:lpstr>cst_wskakunin_sekkei11_SIKAKU</vt:lpstr>
      <vt:lpstr>cst_wskakunin_sekkei11_TEL</vt:lpstr>
      <vt:lpstr>cst_wskakunin_sekkei11_TOUROKU_KIKAN</vt:lpstr>
      <vt:lpstr>cst_wskakunin_sekkei11_ZIP</vt:lpstr>
      <vt:lpstr>cst_wskakunin_sekkei12__address</vt:lpstr>
      <vt:lpstr>cst_wskakunin_sekkei12__sikaku</vt:lpstr>
      <vt:lpstr>cst_wskakunin_sekkei12_DOC</vt:lpstr>
      <vt:lpstr>cst_wskakunin_sekkei12_JIMU__sikaku</vt:lpstr>
      <vt:lpstr>cst_wskakunin_sekkei12_JIMU_NAME</vt:lpstr>
      <vt:lpstr>cst_wskakunin_sekkei12_JIMU_NO</vt:lpstr>
      <vt:lpstr>cst_wskakunin_sekkei12_JIMU_SIKAKU</vt:lpstr>
      <vt:lpstr>cst_wskakunin_sekkei12_JIMU_TOUROKU_KIKAN</vt:lpstr>
      <vt:lpstr>cst_wskakunin_sekkei12_jimuname_name</vt:lpstr>
      <vt:lpstr>cst_wskakunin_sekkei12_KENTIKUSI_NO</vt:lpstr>
      <vt:lpstr>cst_wskakunin_sekkei12_NAME</vt:lpstr>
      <vt:lpstr>cst_wskakunin_sekkei12_SIKAKU</vt:lpstr>
      <vt:lpstr>cst_wskakunin_sekkei12_TEL</vt:lpstr>
      <vt:lpstr>cst_wskakunin_sekkei12_TOUROKU_KIKAN</vt:lpstr>
      <vt:lpstr>cst_wskakunin_sekkei12_ZIP</vt:lpstr>
      <vt:lpstr>cst_wskakunin_sekkei2__address</vt:lpstr>
      <vt:lpstr>cst_wskakunin_sekkei2__sikaku</vt:lpstr>
      <vt:lpstr>cst_wskakunin_sekkei2_DOC</vt:lpstr>
      <vt:lpstr>cst_wskakunin_sekkei2_JIMU__sikaku</vt:lpstr>
      <vt:lpstr>cst_wskakunin_sekkei2_JIMU_NAME</vt:lpstr>
      <vt:lpstr>cst_wskakunin_sekkei2_JIMU_NO</vt:lpstr>
      <vt:lpstr>cst_wskakunin_sekkei2_JIMU_SIKAKU</vt:lpstr>
      <vt:lpstr>cst_wskakunin_sekkei2_JIMU_TOUROKU_KIKAN</vt:lpstr>
      <vt:lpstr>cst_wskakunin_sekkei2_jimuname_name</vt:lpstr>
      <vt:lpstr>cst_wskakunin_sekkei2_KENTIKUSI_NO</vt:lpstr>
      <vt:lpstr>cst_wskakunin_sekkei2_NAME</vt:lpstr>
      <vt:lpstr>cst_wskakunin_sekkei2_SIKAKU</vt:lpstr>
      <vt:lpstr>cst_wskakunin_sekkei2_TEL</vt:lpstr>
      <vt:lpstr>cst_wskakunin_sekkei2_TOUROKU_KIKAN</vt:lpstr>
      <vt:lpstr>cst_wskakunin_sekkei2_ZIP</vt:lpstr>
      <vt:lpstr>cst_wskakunin_sekkei3__address</vt:lpstr>
      <vt:lpstr>cst_wskakunin_sekkei3__sikaku</vt:lpstr>
      <vt:lpstr>cst_wskakunin_sekkei3_DOC</vt:lpstr>
      <vt:lpstr>cst_wskakunin_sekkei3_JIMU__sikaku</vt:lpstr>
      <vt:lpstr>cst_wskakunin_sekkei3_JIMU_NAME</vt:lpstr>
      <vt:lpstr>cst_wskakunin_sekkei3_JIMU_NO</vt:lpstr>
      <vt:lpstr>cst_wskakunin_sekkei3_JIMU_SIKAKU</vt:lpstr>
      <vt:lpstr>cst_wskakunin_sekkei3_JIMU_TOUROKU_KIKAN</vt:lpstr>
      <vt:lpstr>cst_wskakunin_sekkei3_jimuname_name</vt:lpstr>
      <vt:lpstr>cst_wskakunin_sekkei3_KENTIKUSI_NO</vt:lpstr>
      <vt:lpstr>cst_wskakunin_sekkei3_NAME</vt:lpstr>
      <vt:lpstr>cst_wskakunin_sekkei3_SIKAKU</vt:lpstr>
      <vt:lpstr>cst_wskakunin_sekkei3_TEL</vt:lpstr>
      <vt:lpstr>cst_wskakunin_sekkei3_TOUROKU_KIKAN</vt:lpstr>
      <vt:lpstr>cst_wskakunin_sekkei3_ZIP</vt:lpstr>
      <vt:lpstr>cst_wskakunin_sekkei4__address</vt:lpstr>
      <vt:lpstr>cst_wskakunin_sekkei4__sikaku</vt:lpstr>
      <vt:lpstr>cst_wskakunin_sekkei4_DOC</vt:lpstr>
      <vt:lpstr>cst_wskakunin_sekkei4_JIMU__sikaku</vt:lpstr>
      <vt:lpstr>cst_wskakunin_sekkei4_JIMU_NAME</vt:lpstr>
      <vt:lpstr>cst_wskakunin_sekkei4_JIMU_NO</vt:lpstr>
      <vt:lpstr>cst_wskakunin_sekkei4_JIMU_SIKAKU</vt:lpstr>
      <vt:lpstr>cst_wskakunin_sekkei4_JIMU_TOUROKU_KIKAN</vt:lpstr>
      <vt:lpstr>cst_wskakunin_sekkei4_jimuname_name</vt:lpstr>
      <vt:lpstr>cst_wskakunin_sekkei4_KENTIKUSI_NO</vt:lpstr>
      <vt:lpstr>cst_wskakunin_sekkei4_NAME</vt:lpstr>
      <vt:lpstr>cst_wskakunin_sekkei4_SIKAKU</vt:lpstr>
      <vt:lpstr>cst_wskakunin_sekkei4_TEL</vt:lpstr>
      <vt:lpstr>cst_wskakunin_sekkei4_TOUROKU_KIKAN</vt:lpstr>
      <vt:lpstr>cst_wskakunin_sekkei4_ZIP</vt:lpstr>
      <vt:lpstr>cst_wskakunin_sekkei5__address</vt:lpstr>
      <vt:lpstr>cst_wskakunin_sekkei5__sikaku</vt:lpstr>
      <vt:lpstr>cst_wskakunin_sekkei5_DOC</vt:lpstr>
      <vt:lpstr>cst_wskakunin_sekkei5_JIMU__sikaku</vt:lpstr>
      <vt:lpstr>cst_wskakunin_sekkei5_JIMU_NAME</vt:lpstr>
      <vt:lpstr>cst_wskakunin_sekkei5_JIMU_NO</vt:lpstr>
      <vt:lpstr>cst_wskakunin_sekkei5_JIMU_SIKAKU</vt:lpstr>
      <vt:lpstr>cst_wskakunin_sekkei5_JIMU_TOUROKU_KIKAN</vt:lpstr>
      <vt:lpstr>cst_wskakunin_sekkei5_jimuname_name</vt:lpstr>
      <vt:lpstr>cst_wskakunin_sekkei5_KENTIKUSI_NO</vt:lpstr>
      <vt:lpstr>cst_wskakunin_sekkei5_NAME</vt:lpstr>
      <vt:lpstr>cst_wskakunin_sekkei5_SIKAKU</vt:lpstr>
      <vt:lpstr>cst_wskakunin_sekkei5_TEL</vt:lpstr>
      <vt:lpstr>cst_wskakunin_sekkei5_TOUROKU_KIKAN</vt:lpstr>
      <vt:lpstr>cst_wskakunin_sekkei5_ZIP</vt:lpstr>
      <vt:lpstr>cst_wskakunin_sekkei6__address</vt:lpstr>
      <vt:lpstr>cst_wskakunin_sekkei6__sikaku</vt:lpstr>
      <vt:lpstr>cst_wskakunin_sekkei6_DOC</vt:lpstr>
      <vt:lpstr>cst_wskakunin_sekkei6_JIMU__sikaku</vt:lpstr>
      <vt:lpstr>cst_wskakunin_sekkei6_JIMU_NAME</vt:lpstr>
      <vt:lpstr>cst_wskakunin_sekkei6_JIMU_NO</vt:lpstr>
      <vt:lpstr>cst_wskakunin_sekkei6_JIMU_SIKAKU</vt:lpstr>
      <vt:lpstr>cst_wskakunin_sekkei6_JIMU_TOUROKU_KIKAN</vt:lpstr>
      <vt:lpstr>cst_wskakunin_sekkei6_jimuname_name</vt:lpstr>
      <vt:lpstr>cst_wskakunin_sekkei6_KENTIKUSI_NO</vt:lpstr>
      <vt:lpstr>cst_wskakunin_sekkei6_NAME</vt:lpstr>
      <vt:lpstr>cst_wskakunin_sekkei6_SIKAKU</vt:lpstr>
      <vt:lpstr>cst_wskakunin_sekkei6_TEL</vt:lpstr>
      <vt:lpstr>cst_wskakunin_sekkei6_TOUROKU_KIKAN</vt:lpstr>
      <vt:lpstr>cst_wskakunin_sekkei6_ZIP</vt:lpstr>
      <vt:lpstr>cst_wskakunin_sekkei7__address</vt:lpstr>
      <vt:lpstr>cst_wskakunin_sekkei7__sikaku</vt:lpstr>
      <vt:lpstr>cst_wskakunin_sekkei7_DOC</vt:lpstr>
      <vt:lpstr>cst_wskakunin_sekkei7_JIMU__sikaku</vt:lpstr>
      <vt:lpstr>cst_wskakunin_sekkei7_JIMU_NAME</vt:lpstr>
      <vt:lpstr>cst_wskakunin_sekkei7_JIMU_NO</vt:lpstr>
      <vt:lpstr>cst_wskakunin_sekkei7_JIMU_SIKAKU</vt:lpstr>
      <vt:lpstr>cst_wskakunin_sekkei7_JIMU_TOUROKU_KIKAN</vt:lpstr>
      <vt:lpstr>cst_wskakunin_sekkei7_jimuname_name</vt:lpstr>
      <vt:lpstr>cst_wskakunin_sekkei7_KENTIKUSI_NO</vt:lpstr>
      <vt:lpstr>cst_wskakunin_sekkei7_NAME</vt:lpstr>
      <vt:lpstr>cst_wskakunin_sekkei7_SIKAKU</vt:lpstr>
      <vt:lpstr>cst_wskakunin_sekkei7_TEL</vt:lpstr>
      <vt:lpstr>cst_wskakunin_sekkei7_TOUROKU_KIKAN</vt:lpstr>
      <vt:lpstr>cst_wskakunin_sekkei7_ZIP</vt:lpstr>
      <vt:lpstr>cst_wskakunin_sekkei8__address</vt:lpstr>
      <vt:lpstr>cst_wskakunin_sekkei8__sikaku</vt:lpstr>
      <vt:lpstr>cst_wskakunin_sekkei8_DOC</vt:lpstr>
      <vt:lpstr>cst_wskakunin_sekkei8_JIMU__sikaku</vt:lpstr>
      <vt:lpstr>cst_wskakunin_sekkei8_JIMU_NAME</vt:lpstr>
      <vt:lpstr>cst_wskakunin_sekkei8_JIMU_NO</vt:lpstr>
      <vt:lpstr>cst_wskakunin_sekkei8_JIMU_SIKAKU</vt:lpstr>
      <vt:lpstr>cst_wskakunin_sekkei8_JIMU_TOUROKU_KIKAN</vt:lpstr>
      <vt:lpstr>cst_wskakunin_sekkei8_jimuname_name</vt:lpstr>
      <vt:lpstr>cst_wskakunin_sekkei8_KENTIKUSI_NO</vt:lpstr>
      <vt:lpstr>cst_wskakunin_sekkei8_NAME</vt:lpstr>
      <vt:lpstr>cst_wskakunin_sekkei8_SIKAKU</vt:lpstr>
      <vt:lpstr>cst_wskakunin_sekkei8_TEL</vt:lpstr>
      <vt:lpstr>cst_wskakunin_sekkei8_TOUROKU_KIKAN</vt:lpstr>
      <vt:lpstr>cst_wskakunin_sekkei8_ZIP</vt:lpstr>
      <vt:lpstr>cst_wskakunin_sekkei9__address</vt:lpstr>
      <vt:lpstr>cst_wskakunin_sekkei9__sikaku</vt:lpstr>
      <vt:lpstr>cst_wskakunin_sekkei9_DOC</vt:lpstr>
      <vt:lpstr>cst_wskakunin_sekkei9_JIMU__sikaku</vt:lpstr>
      <vt:lpstr>cst_wskakunin_sekkei9_JIMU_NAME</vt:lpstr>
      <vt:lpstr>cst_wskakunin_sekkei9_JIMU_NO</vt:lpstr>
      <vt:lpstr>cst_wskakunin_sekkei9_JIMU_SIKAKU</vt:lpstr>
      <vt:lpstr>cst_wskakunin_sekkei9_JIMU_TOUROKU_KIKAN</vt:lpstr>
      <vt:lpstr>cst_wskakunin_sekkei9_jimuname_name</vt:lpstr>
      <vt:lpstr>cst_wskakunin_sekkei9_KENTIKUSI_NO</vt:lpstr>
      <vt:lpstr>cst_wskakunin_sekkei9_NAME</vt:lpstr>
      <vt:lpstr>cst_wskakunin_sekkei9_SIKAKU</vt:lpstr>
      <vt:lpstr>cst_wskakunin_sekkei9_TEL</vt:lpstr>
      <vt:lpstr>cst_wskakunin_sekkei9_TOUROKU_KIKAN</vt:lpstr>
      <vt:lpstr>cst_wskakunin_sekkei9_ZIP</vt:lpstr>
      <vt:lpstr>cst_wskakunin_sekou1__address</vt:lpstr>
      <vt:lpstr>cst_wskakunin_sekou1__hajime</vt:lpstr>
      <vt:lpstr>cst_wskakunin_sekou1__kistar</vt:lpstr>
      <vt:lpstr>cst_wskakunin_sekou1_JIMU_NAME</vt:lpstr>
      <vt:lpstr>cst_wskakunin_sekou1_kakunin</vt:lpstr>
      <vt:lpstr>cst_wskakunin_sekou1_NAME</vt:lpstr>
      <vt:lpstr>cst_wskakunin_sekou1_SEKOU__sikaku</vt:lpstr>
      <vt:lpstr>cst_wskakunin_sekou1_SEKOU_NO</vt:lpstr>
      <vt:lpstr>cst_wskakunin_sekou1_SEKOU_SIKAKU</vt:lpstr>
      <vt:lpstr>cst_wskakunin_sekou1_TEL</vt:lpstr>
      <vt:lpstr>cst_wskakunin_sekou1_TEL_dsp</vt:lpstr>
      <vt:lpstr>cst_wskakunin_sekou1_ZIP</vt:lpstr>
      <vt:lpstr>cst_wskakunin_sekou2__address</vt:lpstr>
      <vt:lpstr>cst_wskakunin_sekou2_JIMU_NAME</vt:lpstr>
      <vt:lpstr>cst_wskakunin_sekou2_NAME</vt:lpstr>
      <vt:lpstr>cst_wskakunin_sekou2_SEKOU__sikaku</vt:lpstr>
      <vt:lpstr>cst_wskakunin_sekou2_SEKOU_NO</vt:lpstr>
      <vt:lpstr>cst_wskakunin_sekou2_SEKOU_SIKAKU</vt:lpstr>
      <vt:lpstr>cst_wskakunin_sekou2_TEL</vt:lpstr>
      <vt:lpstr>cst_wskakunin_sekou2_ZIP</vt:lpstr>
      <vt:lpstr>cst_wskakunin_sekou3__address</vt:lpstr>
      <vt:lpstr>cst_wskakunin_sekou3_JIMU_NAME</vt:lpstr>
      <vt:lpstr>cst_wskakunin_sekou3_NAME</vt:lpstr>
      <vt:lpstr>cst_wskakunin_sekou3_SEKOU__sikaku</vt:lpstr>
      <vt:lpstr>cst_wskakunin_sekou3_SEKOU_NO</vt:lpstr>
      <vt:lpstr>cst_wskakunin_sekou3_SEKOU_SIKAKU</vt:lpstr>
      <vt:lpstr>cst_wskakunin_sekou3_TEL</vt:lpstr>
      <vt:lpstr>cst_wskakunin_sekou3_ZIP</vt:lpstr>
      <vt:lpstr>cst_wskakunin_sekou4__address</vt:lpstr>
      <vt:lpstr>cst_wskakunin_sekou4_JIMU_NAME</vt:lpstr>
      <vt:lpstr>cst_wskakunin_sekou4_NAME</vt:lpstr>
      <vt:lpstr>cst_wskakunin_sekou4_SEKOU__sikaku</vt:lpstr>
      <vt:lpstr>cst_wskakunin_sekou4_SEKOU_NO</vt:lpstr>
      <vt:lpstr>cst_wskakunin_sekou4_SEKOU_SIKAKU</vt:lpstr>
      <vt:lpstr>cst_wskakunin_sekou4_TEL</vt:lpstr>
      <vt:lpstr>cst_wskakunin_sekou4_ZIP</vt:lpstr>
      <vt:lpstr>cst_wskakunin_sekou5__address</vt:lpstr>
      <vt:lpstr>cst_wskakunin_sekou5_JIMU_NAME</vt:lpstr>
      <vt:lpstr>cst_wskakunin_sekou5_NAME</vt:lpstr>
      <vt:lpstr>cst_wskakunin_sekou5_SEKOU__sikaku</vt:lpstr>
      <vt:lpstr>cst_wskakunin_sekou5_SEKOU_NO</vt:lpstr>
      <vt:lpstr>cst_wskakunin_sekou5_SEKOU_SIKAKU</vt:lpstr>
      <vt:lpstr>cst_wskakunin_sekou5_TEL</vt:lpstr>
      <vt:lpstr>cst_wskakunin_sekou5_ZIP</vt:lpstr>
      <vt:lpstr>cst_wskakunin_sekou6__address</vt:lpstr>
      <vt:lpstr>cst_wskakunin_sekou6_JIMU_NAME</vt:lpstr>
      <vt:lpstr>cst_wskakunin_sekou6_NAME</vt:lpstr>
      <vt:lpstr>cst_wskakunin_sekou6_SEKOU__sikaku</vt:lpstr>
      <vt:lpstr>cst_wskakunin_sekou6_SEKOU_NO</vt:lpstr>
      <vt:lpstr>cst_wskakunin_sekou6_SEKOU_SIKAKU</vt:lpstr>
      <vt:lpstr>cst_wskakunin_sekou6_TEL</vt:lpstr>
      <vt:lpstr>cst_wskakunin_sekou6_ZIP</vt:lpstr>
      <vt:lpstr>cst_wskakunin_SHIKITI_MENSEKI_1_TOTAL</vt:lpstr>
      <vt:lpstr>cst_wskakunin_SHIKITI_MENSEKI_1A</vt:lpstr>
      <vt:lpstr>cst_wskakunin_SHIKITI_MENSEKI_1B</vt:lpstr>
      <vt:lpstr>cst_wskakunin_SHIKITI_MENSEKI_1C</vt:lpstr>
      <vt:lpstr>cst_wskakunin_SHIKITI_MENSEKI_1D</vt:lpstr>
      <vt:lpstr>cst_wskakunin_SHIKITI_MENSEKI_2_TOTAL</vt:lpstr>
      <vt:lpstr>cst_wskakunin_SHIKITI_MENSEKI_2A</vt:lpstr>
      <vt:lpstr>cst_wskakunin_SHIKITI_MENSEKI_2B</vt:lpstr>
      <vt:lpstr>cst_wskakunin_SHIKITI_MENSEKI_2C</vt:lpstr>
      <vt:lpstr>cst_wskakunin_SHIKITI_MENSEKI_2D</vt:lpstr>
      <vt:lpstr>cst_wskakunin_SHIKITI_MENSEKI_BIKOU</vt:lpstr>
      <vt:lpstr>cst_wskakunin_SHINSEI_DATE</vt:lpstr>
      <vt:lpstr>cst_wskakunin_TAKASA_MAX_SHINSEI</vt:lpstr>
      <vt:lpstr>cst_wskakunin_TAKASA_MAX_SONOTA</vt:lpstr>
      <vt:lpstr>cst_wskakunin_tekihan01_TEKIHAN_KIKAN_ADDRESS</vt:lpstr>
      <vt:lpstr>cst_wskakunin_tekihan01_TEKIHAN_KIKAN_info</vt:lpstr>
      <vt:lpstr>cst_wskakunin_tekihan01_TEKIHAN_KIKAN_KEN__ken</vt:lpstr>
      <vt:lpstr>cst_wskakunin_tekihan01_TEKIHAN_KIKAN_NAME</vt:lpstr>
      <vt:lpstr>cst_wskakunin_tekihan01_TEKIHAN_STATE_mishinsei</vt:lpstr>
      <vt:lpstr>cst_wskakunin_tekihan01_TEKIHAN_STATE_shinsei</vt:lpstr>
      <vt:lpstr>cst_wskakunin_tekihan01_TEKIHAN_STATE_shinseifuyou</vt:lpstr>
      <vt:lpstr>cst_wskakunin_tekihan02_TEKIHAN_KIKAN_ADDRESS</vt:lpstr>
      <vt:lpstr>cst_wskakunin_tekihan02_TEKIHAN_KIKAN_info</vt:lpstr>
      <vt:lpstr>cst_wskakunin_tekihan02_TEKIHAN_KIKAN_KEN__ken</vt:lpstr>
      <vt:lpstr>cst_wskakunin_tekihan02_TEKIHAN_KIKAN_NAME</vt:lpstr>
      <vt:lpstr>cst_wskakunin_TOKUREI_TAKASA</vt:lpstr>
      <vt:lpstr>cst_wskakunin_TOKUREI_TAKASA_box_off</vt:lpstr>
      <vt:lpstr>cst_wskakunin_TOKUREI_TAKASA_box_on</vt:lpstr>
      <vt:lpstr>cst_wskakunin_TOKUREI_TAKASA_DOURO</vt:lpstr>
      <vt:lpstr>cst_wskakunin_TOKUREI_TAKASA_KITA</vt:lpstr>
      <vt:lpstr>cst_wskakunin_TOKUREI_TAKASA_RINTI</vt:lpstr>
      <vt:lpstr>cst_wskakunin_TOKUREI_txt</vt:lpstr>
      <vt:lpstr>cst_wskakunin_TOKUTEI_KOUJI_KANRYOU_DATE_select</vt:lpstr>
      <vt:lpstr>cst_wskakunin_TOKUTEI_KOUTEI</vt:lpstr>
      <vt:lpstr>cst_wskakunin_TOKUTEI_KOUTEI_inter1</vt:lpstr>
      <vt:lpstr>cst_wskakunin_TOKUTEI_KOUTEI_inter2</vt:lpstr>
      <vt:lpstr>cst_wskakunin_wskakunin_SONOTA_KUIKI</vt:lpstr>
      <vt:lpstr>cst_wskakunin_YOUSEKI_RITU</vt:lpstr>
      <vt:lpstr>cst_wskakunin_YOUSEKI_RITU_A</vt:lpstr>
      <vt:lpstr>cst_wskakunin_YOUSEKI_RITU_B</vt:lpstr>
      <vt:lpstr>cst_wskakunin_YOUSEKI_RITU_C</vt:lpstr>
      <vt:lpstr>cst_wskakunin_YOUSEKI_RITU_D</vt:lpstr>
      <vt:lpstr>cst_wskakunin_YOUTO</vt:lpstr>
      <vt:lpstr>cst_wskakunin_YOUTO_CODE</vt:lpstr>
      <vt:lpstr>cst_wskakunin_YOUTO_kodate_box</vt:lpstr>
      <vt:lpstr>cst_wskakunin_YOUTO_kyoudou_box</vt:lpstr>
      <vt:lpstr>cst_wskakunin_YOUTO_TIIKI_A</vt:lpstr>
      <vt:lpstr>cst_wskakunin_YOUTO_TIIKI_B</vt:lpstr>
      <vt:lpstr>cst_wskakunin_YOUTO_TIIKI_C</vt:lpstr>
      <vt:lpstr>cst_wskakunin_YOUTO_TIIKI_D</vt:lpstr>
      <vt:lpstr>確認取り下げ届_確認済証交付前!Print_Area</vt:lpstr>
      <vt:lpstr>監理者選任_大阪府下のみ!Print_Area</vt:lpstr>
      <vt:lpstr>軽微な変更!Print_Area</vt:lpstr>
      <vt:lpstr>建築主等変更!Print_Area</vt:lpstr>
      <vt:lpstr>誤記訂正届!Print_Area</vt:lpstr>
      <vt:lpstr>工事取りやめ届_確認済証交付後!Print_Area</vt:lpstr>
      <vt:lpstr>選定届!Print_Area</vt:lpstr>
      <vt:lpstr>別紙!Print_Area</vt:lpstr>
      <vt:lpstr>追加様式!Print_Titles</vt:lpstr>
      <vt:lpstr>shinsei_ACCEPT_DATE</vt:lpstr>
      <vt:lpstr>shinsei_build_p6_01_PAGE6_KOUZOU_KEISAN_KIND__002</vt:lpstr>
      <vt:lpstr>shinsei_build_p6_01_PAGE6_KOUZOU_KEISAN_KIND__004</vt:lpstr>
      <vt:lpstr>shinsei_build_p6_01_PAGE6_KOUZOU_KEISAN_KIND__005</vt:lpstr>
      <vt:lpstr>shinsei_build_YOUTO</vt:lpstr>
      <vt:lpstr>shinsei_HIKIUKE_DATE</vt:lpstr>
      <vt:lpstr>shinsei_ISSUE_DATE</vt:lpstr>
      <vt:lpstr>shinsei_ISSUE_KOUFU_NAME</vt:lpstr>
      <vt:lpstr>shinsei_ISSUE_NO</vt:lpstr>
      <vt:lpstr>shinsei_KAKU_SUMI_NO</vt:lpstr>
      <vt:lpstr>shinsei_PROVO_DATE</vt:lpstr>
      <vt:lpstr>shinsei_PROVO_NO</vt:lpstr>
      <vt:lpstr>shinsei_UKETUKE_NO</vt:lpstr>
      <vt:lpstr>shinsei_UNIT_COUNT</vt:lpstr>
      <vt:lpstr>showsheetflag_cst_DATA</vt:lpstr>
      <vt:lpstr>showsheetflag_DATA</vt:lpstr>
      <vt:lpstr>showsheetflag_dSHEET</vt:lpstr>
      <vt:lpstr>showsheetflag_dSTART</vt:lpstr>
      <vt:lpstr>showsheetflag_NoObject</vt:lpstr>
      <vt:lpstr>showsheetflag_リスト</vt:lpstr>
      <vt:lpstr>showsheetflag_委任状</vt:lpstr>
      <vt:lpstr>showsheetflag_確認取り下げ届_確認済証交付前</vt:lpstr>
      <vt:lpstr>showsheetflag_監理者選任_大阪府下のみ</vt:lpstr>
      <vt:lpstr>showsheetflag_軽微な変更</vt:lpstr>
      <vt:lpstr>showsheetflag_建築計画概要書_第三面</vt:lpstr>
      <vt:lpstr>showsheetflag_建築工事届</vt:lpstr>
      <vt:lpstr>showsheetflag_建築主等変更</vt:lpstr>
      <vt:lpstr>showsheetflag_誤記訂正届</vt:lpstr>
      <vt:lpstr>showsheetflag_工事取りやめ届_確認済証交付後</vt:lpstr>
      <vt:lpstr>showsheetflag_項目リスト</vt:lpstr>
      <vt:lpstr>showsheetflag_説明</vt:lpstr>
      <vt:lpstr>showsheetflag_選定届</vt:lpstr>
      <vt:lpstr>showsheetflag_追加説明書_確認申請</vt:lpstr>
      <vt:lpstr>showsheetflag_追加説明書_完了検査</vt:lpstr>
      <vt:lpstr>showsheetflag_追加説明書_中間検査</vt:lpstr>
      <vt:lpstr>showsheetflag_追加様式</vt:lpstr>
      <vt:lpstr>showsheetflag_非表示予定</vt:lpstr>
      <vt:lpstr>showsheetflag_別紙</vt:lpstr>
      <vt:lpstr>showsheetflag_用途の区分</vt:lpstr>
      <vt:lpstr>wsflat35_dairi1_POST</vt:lpstr>
      <vt:lpstr>wsjob_JOB_KIND</vt:lpstr>
      <vt:lpstr>wsjob_JOB_SET_KIND</vt:lpstr>
      <vt:lpstr>wsjob_TARGET_KIND</vt:lpstr>
      <vt:lpstr>wsjob_TARGET_KIND__label</vt:lpstr>
      <vt:lpstr>wskakunin__bouka</vt:lpstr>
      <vt:lpstr>wskakunin__kouji</vt:lpstr>
      <vt:lpstr>wskakunin__kuiki</vt:lpstr>
      <vt:lpstr>wskakunin__tosi_kuiki</vt:lpstr>
      <vt:lpstr>wskakunin_20kouzou101_KOUZOUSEKKEI_KOUFU_NO</vt:lpstr>
      <vt:lpstr>wskakunin_20kouzou101_NAME</vt:lpstr>
      <vt:lpstr>wskakunin_20kouzou102_KOUZOUSEKKEI_KOUFU_NO</vt:lpstr>
      <vt:lpstr>wskakunin_20kouzou102_NAME</vt:lpstr>
      <vt:lpstr>wskakunin_20kouzou103_KOUZOUSEKKEI_KOUFU_NO</vt:lpstr>
      <vt:lpstr>wskakunin_20kouzou103_NAME</vt:lpstr>
      <vt:lpstr>wskakunin_20kouzou104_KOUZOUSEKKEI_KOUFU_NO</vt:lpstr>
      <vt:lpstr>wskakunin_20kouzou104_NAME</vt:lpstr>
      <vt:lpstr>wskakunin_20kouzou105_KOUZOUSEKKEI_KOUFU_NO</vt:lpstr>
      <vt:lpstr>wskakunin_20kouzou105_NAME</vt:lpstr>
      <vt:lpstr>wskakunin_20kouzou301_KOUZOUSEKKEI_KOUFU_NO</vt:lpstr>
      <vt:lpstr>wskakunin_20kouzou301_NAME</vt:lpstr>
      <vt:lpstr>wskakunin_20kouzou302_KOUZOUSEKKEI_KOUFU_NO</vt:lpstr>
      <vt:lpstr>wskakunin_20kouzou302_NAME</vt:lpstr>
      <vt:lpstr>wskakunin_20kouzou303_KOUZOUSEKKEI_KOUFU_NO</vt:lpstr>
      <vt:lpstr>wskakunin_20kouzou303_NAME</vt:lpstr>
      <vt:lpstr>wskakunin_20kouzou304_KOUZOUSEKKEI_KOUFU_NO</vt:lpstr>
      <vt:lpstr>wskakunin_20kouzou304_NAME</vt:lpstr>
      <vt:lpstr>wskakunin_20kouzou305_KOUZOUSEKKEI_KOUFU_NO</vt:lpstr>
      <vt:lpstr>wskakunin_20kouzou305_NAME</vt:lpstr>
      <vt:lpstr>wskakunin_20setubi101_NAME</vt:lpstr>
      <vt:lpstr>wskakunin_20setubi101_SETUBISEKKEI_KOUFU_NO</vt:lpstr>
      <vt:lpstr>wskakunin_20setubi102_NAME</vt:lpstr>
      <vt:lpstr>wskakunin_20setubi102_SETUBISEKKEI_KOUFU_NO</vt:lpstr>
      <vt:lpstr>wskakunin_20setubi103_NAME</vt:lpstr>
      <vt:lpstr>wskakunin_20setubi103_SETUBISEKKEI_KOUFU_NO</vt:lpstr>
      <vt:lpstr>wskakunin_20setubi104_NAME</vt:lpstr>
      <vt:lpstr>wskakunin_20setubi104_SETUBISEKKEI_KOUFU_NO</vt:lpstr>
      <vt:lpstr>wskakunin_20setubi105_NAME</vt:lpstr>
      <vt:lpstr>wskakunin_20setubi105_SETUBISEKKEI_KOUFU_NO</vt:lpstr>
      <vt:lpstr>wskakunin_20setubi301_NAME</vt:lpstr>
      <vt:lpstr>wskakunin_20setubi301_SETUBISEKKEI_KOUFU_NO</vt:lpstr>
      <vt:lpstr>wskakunin_20setubi302_NAME</vt:lpstr>
      <vt:lpstr>wskakunin_20setubi302_SETUBISEKKEI_KOUFU_NO</vt:lpstr>
      <vt:lpstr>wskakunin_20setubi303_NAME</vt:lpstr>
      <vt:lpstr>wskakunin_20setubi303_SETUBISEKKEI_KOUFU_NO</vt:lpstr>
      <vt:lpstr>wskakunin_20setubi304_NAME</vt:lpstr>
      <vt:lpstr>wskakunin_20setubi304_SETUBISEKKEI_KOUFU_NO</vt:lpstr>
      <vt:lpstr>wskakunin_20setubi305_NAME</vt:lpstr>
      <vt:lpstr>wskakunin_20setubi305_SETUBISEKKEI_KOUFU_NO</vt:lpstr>
      <vt:lpstr>wskakunin_APPLICANT_NAME</vt:lpstr>
      <vt:lpstr>wskakunin_BOUKA_22JYO</vt:lpstr>
      <vt:lpstr>wskakunin_BOUKA_BOUKA</vt:lpstr>
      <vt:lpstr>wskakunin_BOUKA_JYUN_BOUKA</vt:lpstr>
      <vt:lpstr>wskakunin_BOUKA_NASI</vt:lpstr>
      <vt:lpstr>wskakunin_BOUKA_SETUBI_FLAG</vt:lpstr>
      <vt:lpstr>wskakunin_BUILD__address</vt:lpstr>
      <vt:lpstr>wskakunin_BUILD_ADDRESS</vt:lpstr>
      <vt:lpstr>wskakunin_BUILD_JYUKYO__address</vt:lpstr>
      <vt:lpstr>wskakunin_BUILD_JYUKYO_ADDRESS</vt:lpstr>
      <vt:lpstr>wskakunin_BUILD_JYUKYO_KEN__ken</vt:lpstr>
      <vt:lpstr>wskakunin_BUILD_KEN__ken</vt:lpstr>
      <vt:lpstr>wskakunin_BUILD_NAME</vt:lpstr>
      <vt:lpstr>wskakunin_BUILD_NAME_KANA</vt:lpstr>
      <vt:lpstr>wskakunin_BUILD_SHINSEI_COUNT</vt:lpstr>
      <vt:lpstr>wskakunin_BUILD_SONOTA_COUNT</vt:lpstr>
      <vt:lpstr>wskakunin_dairi1__address</vt:lpstr>
      <vt:lpstr>wskakunin_dairi1__sikaku</vt:lpstr>
      <vt:lpstr>wskakunin_dairi1_FAX</vt:lpstr>
      <vt:lpstr>wskakunin_dairi1_JIMU__sikaku</vt:lpstr>
      <vt:lpstr>wskakunin_dairi1_JIMU_NAME</vt:lpstr>
      <vt:lpstr>wskakunin_dairi1_JIMU_NO</vt:lpstr>
      <vt:lpstr>wskakunin_dairi1_JIMU_SIKAKU__label</vt:lpstr>
      <vt:lpstr>wskakunin_dairi1_JIMU_TOUROKU_KIKAN__label</vt:lpstr>
      <vt:lpstr>wskakunin_dairi1_KENTIKUSI_NO</vt:lpstr>
      <vt:lpstr>wskakunin_dairi1_NAME</vt:lpstr>
      <vt:lpstr>wskakunin_dairi1_NAME_KANA</vt:lpstr>
      <vt:lpstr>wskakunin_dairi1_SIKAKU__label</vt:lpstr>
      <vt:lpstr>wskakunin_dairi1_TEL</vt:lpstr>
      <vt:lpstr>wskakunin_dairi1_TOUROKU_KIKAN__label</vt:lpstr>
      <vt:lpstr>wskakunin_dairi1_ZIP</vt:lpstr>
      <vt:lpstr>wskakunin_dairi2__address</vt:lpstr>
      <vt:lpstr>wskakunin_dairi2__sikaku</vt:lpstr>
      <vt:lpstr>wskakunin_dairi2_FAX</vt:lpstr>
      <vt:lpstr>wskakunin_dairi2_JIMU__sikaku</vt:lpstr>
      <vt:lpstr>wskakunin_dairi2_JIMU_NAME</vt:lpstr>
      <vt:lpstr>wskakunin_dairi2_JIMU_NO</vt:lpstr>
      <vt:lpstr>wskakunin_dairi2_JIMU_SIKAKU__label</vt:lpstr>
      <vt:lpstr>wskakunin_dairi2_JIMU_TOUROKU_KIKAN__label</vt:lpstr>
      <vt:lpstr>wskakunin_dairi2_KENTIKUSI_NO</vt:lpstr>
      <vt:lpstr>wskakunin_dairi2_NAME</vt:lpstr>
      <vt:lpstr>wskakunin_dairi2_NAME_KANA</vt:lpstr>
      <vt:lpstr>wskakunin_dairi2_SIKAKU__label</vt:lpstr>
      <vt:lpstr>wskakunin_dairi2_TEL</vt:lpstr>
      <vt:lpstr>wskakunin_dairi2_TOUROKU_KIKAN__label</vt:lpstr>
      <vt:lpstr>wskakunin_dairi2_ZIP</vt:lpstr>
      <vt:lpstr>wskakunin_dairi3__address</vt:lpstr>
      <vt:lpstr>wskakunin_dairi3__sikaku</vt:lpstr>
      <vt:lpstr>wskakunin_dairi3_FAX</vt:lpstr>
      <vt:lpstr>wskakunin_dairi3_JIMU__sikaku</vt:lpstr>
      <vt:lpstr>wskakunin_dairi3_JIMU_NAME</vt:lpstr>
      <vt:lpstr>wskakunin_dairi3_JIMU_NO</vt:lpstr>
      <vt:lpstr>wskakunin_dairi3_JIMU_SIKAKU__label</vt:lpstr>
      <vt:lpstr>wskakunin_dairi3_JIMU_TOUROKU_KIKAN__label</vt:lpstr>
      <vt:lpstr>wskakunin_dairi3_KENTIKUSI_NO</vt:lpstr>
      <vt:lpstr>wskakunin_dairi3_NAME</vt:lpstr>
      <vt:lpstr>wskakunin_dairi3_NAME_KANA</vt:lpstr>
      <vt:lpstr>wskakunin_dairi3_SIKAKU__label</vt:lpstr>
      <vt:lpstr>wskakunin_dairi3_TEL</vt:lpstr>
      <vt:lpstr>wskakunin_dairi3_TOUROKU_KIKAN__label</vt:lpstr>
      <vt:lpstr>wskakunin_dairi3_ZIP</vt:lpstr>
      <vt:lpstr>wskakunin_dairi4__address</vt:lpstr>
      <vt:lpstr>wskakunin_dairi4__sikaku</vt:lpstr>
      <vt:lpstr>wskakunin_dairi4_FAX</vt:lpstr>
      <vt:lpstr>wskakunin_dairi4_JIMU__sikaku</vt:lpstr>
      <vt:lpstr>wskakunin_dairi4_JIMU_NAME</vt:lpstr>
      <vt:lpstr>wskakunin_dairi4_JIMU_NO</vt:lpstr>
      <vt:lpstr>wskakunin_dairi4_JIMU_SIKAKU__label</vt:lpstr>
      <vt:lpstr>wskakunin_dairi4_JIMU_TOUROKU_KIKAN__label</vt:lpstr>
      <vt:lpstr>wskakunin_dairi4_KENTIKUSI_NO</vt:lpstr>
      <vt:lpstr>wskakunin_dairi4_NAME</vt:lpstr>
      <vt:lpstr>wskakunin_dairi4_NAME_KANA</vt:lpstr>
      <vt:lpstr>wskakunin_dairi4_SIKAKU__label</vt:lpstr>
      <vt:lpstr>wskakunin_dairi4_TEL</vt:lpstr>
      <vt:lpstr>wskakunin_dairi4_TOUROKU_KIKAN__label</vt:lpstr>
      <vt:lpstr>wskakunin_dairi4_ZIP</vt:lpstr>
      <vt:lpstr>wskakunin_dairi5__address</vt:lpstr>
      <vt:lpstr>wskakunin_dairi5__sikaku</vt:lpstr>
      <vt:lpstr>wskakunin_dairi5_FAX</vt:lpstr>
      <vt:lpstr>wskakunin_dairi5_JIMU__sikaku</vt:lpstr>
      <vt:lpstr>wskakunin_dairi5_JIMU_NAME</vt:lpstr>
      <vt:lpstr>wskakunin_dairi5_JIMU_NO</vt:lpstr>
      <vt:lpstr>wskakunin_dairi5_JIMU_SIKAKU__label</vt:lpstr>
      <vt:lpstr>wskakunin_dairi5_JIMU_TOUROKU_KIKAN__label</vt:lpstr>
      <vt:lpstr>wskakunin_dairi5_KENTIKUSI_NO</vt:lpstr>
      <vt:lpstr>wskakunin_dairi5_NAME</vt:lpstr>
      <vt:lpstr>wskakunin_dairi5_NAME_KANA</vt:lpstr>
      <vt:lpstr>wskakunin_dairi5_SIKAKU__label</vt:lpstr>
      <vt:lpstr>wskakunin_dairi5_TEL</vt:lpstr>
      <vt:lpstr>wskakunin_dairi5_TOUROKU_KIKAN__label</vt:lpstr>
      <vt:lpstr>wskakunin_dairi5_ZIP</vt:lpstr>
      <vt:lpstr>wskakunin_DOURO_FUKUIN</vt:lpstr>
      <vt:lpstr>wskakunin_DOURO_NAGASA</vt:lpstr>
      <vt:lpstr>wskakunin_ecotekihan01_FUYOU_CAUSE</vt:lpstr>
      <vt:lpstr>wskakunin_ecotekihan01_TEKIHAN_KIKAN_ADDRESS</vt:lpstr>
      <vt:lpstr>wskakunin_ecotekihan01_TEKIHAN_KIKAN_KEN__ken</vt:lpstr>
      <vt:lpstr>wskakunin_ecotekihan01_TEKIHAN_KIKAN_NAME</vt:lpstr>
      <vt:lpstr>wskakunin_ecotekihan01_TEKIHAN_STATE</vt:lpstr>
      <vt:lpstr>wskakunin_gaiyou1_EV_KIND</vt:lpstr>
      <vt:lpstr>wskakunin_gaiyou1_KOUJI_KAITIKU</vt:lpstr>
      <vt:lpstr>wskakunin_gaiyou1_KOUJI_SINTIKU</vt:lpstr>
      <vt:lpstr>wskakunin_gaiyou1_KOUJI_SONOTA</vt:lpstr>
      <vt:lpstr>wskakunin_gaiyou1_KOUJI_SONOTA_TEXT</vt:lpstr>
      <vt:lpstr>wskakunin_gaiyou1_KOUJI_ZOUTIKU</vt:lpstr>
      <vt:lpstr>wskakunin_gaiyou1_KOUZOU</vt:lpstr>
      <vt:lpstr>wskakunin_gaiyou1_NINSYOU_NO</vt:lpstr>
      <vt:lpstr>wskakunin_gaiyou1_NO</vt:lpstr>
      <vt:lpstr>wskakunin_gaiyou1_SEKISAI</vt:lpstr>
      <vt:lpstr>wskakunin_gaiyou1_SONOTA</vt:lpstr>
      <vt:lpstr>wskakunin_gaiyou1_SONOTA_and_NINSYOU_NO</vt:lpstr>
      <vt:lpstr>wskakunin_gaiyou1_SPEED</vt:lpstr>
      <vt:lpstr>wskakunin_gaiyou1_TAKASA</vt:lpstr>
      <vt:lpstr>wskakunin_gaiyou1_TEIIN</vt:lpstr>
      <vt:lpstr>wskakunin_gaiyou1_TIKUZOU_MENSEKI_IGAI</vt:lpstr>
      <vt:lpstr>wskakunin_gaiyou1_TIKUZOU_MENSEKI_SHINSEI</vt:lpstr>
      <vt:lpstr>wskakunin_gaiyou1_TIKUZOU_MENSEKI_TOTAL</vt:lpstr>
      <vt:lpstr>wskakunin_gaiyou1_WORK_COUNT_IGAI</vt:lpstr>
      <vt:lpstr>wskakunin_gaiyou1_WORK_COUNT_SHINSEI</vt:lpstr>
      <vt:lpstr>wskakunin_gaiyou1_WORK_COUNT_TOTAL</vt:lpstr>
      <vt:lpstr>wskakunin_gaiyou1_WORK_SYURUI</vt:lpstr>
      <vt:lpstr>wskakunin_gaiyou1_WORK_SYURUI_CODE</vt:lpstr>
      <vt:lpstr>wskakunin_gaiyou1_YOUTO</vt:lpstr>
      <vt:lpstr>wskakunin_iken1__address</vt:lpstr>
      <vt:lpstr>wskakunin_iken1_DOC</vt:lpstr>
      <vt:lpstr>wskakunin_iken1_IKEN_NO</vt:lpstr>
      <vt:lpstr>wskakunin_iken1_JIMU_NAME</vt:lpstr>
      <vt:lpstr>wskakunin_iken1_NAME</vt:lpstr>
      <vt:lpstr>wskakunin_iken1_TEL</vt:lpstr>
      <vt:lpstr>wskakunin_iken1_ZIP</vt:lpstr>
      <vt:lpstr>wskakunin_iken2__address</vt:lpstr>
      <vt:lpstr>wskakunin_iken2_DOC</vt:lpstr>
      <vt:lpstr>wskakunin_iken2_IKEN_NO</vt:lpstr>
      <vt:lpstr>wskakunin_iken2_JIMU_NAME</vt:lpstr>
      <vt:lpstr>wskakunin_iken2_NAME</vt:lpstr>
      <vt:lpstr>wskakunin_iken2_TEL</vt:lpstr>
      <vt:lpstr>wskakunin_iken2_ZIP</vt:lpstr>
      <vt:lpstr>wskakunin_iken3__address</vt:lpstr>
      <vt:lpstr>wskakunin_iken3_DOC</vt:lpstr>
      <vt:lpstr>wskakunin_iken3_IKEN_NO</vt:lpstr>
      <vt:lpstr>wskakunin_iken3_JIMU_NAME</vt:lpstr>
      <vt:lpstr>wskakunin_iken3_NAME</vt:lpstr>
      <vt:lpstr>wskakunin_iken3_TEL</vt:lpstr>
      <vt:lpstr>wskakunin_iken3_ZIP</vt:lpstr>
      <vt:lpstr>wskakunin_iken4__address</vt:lpstr>
      <vt:lpstr>wskakunin_iken4_DOC</vt:lpstr>
      <vt:lpstr>wskakunin_iken4_IKEN_NO</vt:lpstr>
      <vt:lpstr>wskakunin_iken4_JIMU_NAME</vt:lpstr>
      <vt:lpstr>wskakunin_iken4_NAME</vt:lpstr>
      <vt:lpstr>wskakunin_iken4_TEL</vt:lpstr>
      <vt:lpstr>wskakunin_iken4_ZIP</vt:lpstr>
      <vt:lpstr>wskakunin_iken5__address</vt:lpstr>
      <vt:lpstr>wskakunin_iken5_DOC</vt:lpstr>
      <vt:lpstr>wskakunin_iken5_IKEN_NO</vt:lpstr>
      <vt:lpstr>wskakunin_iken5_JIMU_NAME</vt:lpstr>
      <vt:lpstr>wskakunin_iken5_NAME</vt:lpstr>
      <vt:lpstr>wskakunin_iken5_TEL</vt:lpstr>
      <vt:lpstr>wskakunin_iken5_ZIP</vt:lpstr>
      <vt:lpstr>wskakunin_KAISU_TIJYOU_SHINSEI</vt:lpstr>
      <vt:lpstr>wskakunin_KAISU_TIJYOU_SONOTA</vt:lpstr>
      <vt:lpstr>wskakunin_KAISU_TIKA_SHINSEI__zero</vt:lpstr>
      <vt:lpstr>wskakunin_KAISU_TIKA_SONOTA</vt:lpstr>
      <vt:lpstr>wskakunin_kanri1__address</vt:lpstr>
      <vt:lpstr>wskakunin_kanri1__sikaku</vt:lpstr>
      <vt:lpstr>wskakunin_kanri1_DOC</vt:lpstr>
      <vt:lpstr>wskakunin_kanri1_JIMU__sikaku</vt:lpstr>
      <vt:lpstr>wskakunin_kanri1_JIMU_NAME</vt:lpstr>
      <vt:lpstr>wskakunin_kanri1_JIMU_NO</vt:lpstr>
      <vt:lpstr>wskakunin_kanri1_JIMU_SIKAKU__label</vt:lpstr>
      <vt:lpstr>wskakunin_kanri1_JIMU_TOUROKU_KIKAN__label</vt:lpstr>
      <vt:lpstr>wskakunin_kanri1_KENTIKUSI_NO</vt:lpstr>
      <vt:lpstr>wskakunin_kanri1_NAME</vt:lpstr>
      <vt:lpstr>wskakunin_kanri1_SIKAKU__label</vt:lpstr>
      <vt:lpstr>wskakunin_kanri1_TEL</vt:lpstr>
      <vt:lpstr>wskakunin_kanri1_TOUROKU_KIKAN__label</vt:lpstr>
      <vt:lpstr>wskakunin_kanri1_ZIP</vt:lpstr>
      <vt:lpstr>wskakunin_kanri10__address</vt:lpstr>
      <vt:lpstr>wskakunin_kanri10__sikaku</vt:lpstr>
      <vt:lpstr>wskakunin_kanri10_DOC</vt:lpstr>
      <vt:lpstr>wskakunin_kanri10_JIMU__sikaku</vt:lpstr>
      <vt:lpstr>wskakunin_kanri10_JIMU_NAME</vt:lpstr>
      <vt:lpstr>wskakunin_kanri10_JIMU_NO</vt:lpstr>
      <vt:lpstr>wskakunin_kanri10_JIMU_SIKAKU__label</vt:lpstr>
      <vt:lpstr>wskakunin_kanri10_JIMU_TOUROKU_KIKAN__label</vt:lpstr>
      <vt:lpstr>wskakunin_kanri10_KENTIKUSI_NO</vt:lpstr>
      <vt:lpstr>wskakunin_kanri10_NAME</vt:lpstr>
      <vt:lpstr>wskakunin_kanri10_SIKAKU__label</vt:lpstr>
      <vt:lpstr>wskakunin_kanri10_TEL</vt:lpstr>
      <vt:lpstr>wskakunin_kanri10_TOUROKU_KIKAN__label</vt:lpstr>
      <vt:lpstr>wskakunin_kanri10_ZIP</vt:lpstr>
      <vt:lpstr>wskakunin_kanri11__address</vt:lpstr>
      <vt:lpstr>wskakunin_kanri11__sikaku</vt:lpstr>
      <vt:lpstr>wskakunin_kanri11_DOC</vt:lpstr>
      <vt:lpstr>wskakunin_kanri11_JIMU__sikaku</vt:lpstr>
      <vt:lpstr>wskakunin_kanri11_JIMU_NAME</vt:lpstr>
      <vt:lpstr>wskakunin_kanri11_JIMU_NO</vt:lpstr>
      <vt:lpstr>wskakunin_kanri11_JIMU_SIKAKU__label</vt:lpstr>
      <vt:lpstr>wskakunin_kanri11_JIMU_TOUROKU_KIKAN__label</vt:lpstr>
      <vt:lpstr>wskakunin_kanri11_KENTIKUSI_NO</vt:lpstr>
      <vt:lpstr>wskakunin_kanri11_NAME</vt:lpstr>
      <vt:lpstr>wskakunin_kanri11_SIKAKU__label</vt:lpstr>
      <vt:lpstr>wskakunin_kanri11_TEL</vt:lpstr>
      <vt:lpstr>wskakunin_kanri11_TOUROKU_KIKAN__label</vt:lpstr>
      <vt:lpstr>wskakunin_kanri11_ZIP</vt:lpstr>
      <vt:lpstr>wskakunin_kanri12__address</vt:lpstr>
      <vt:lpstr>wskakunin_kanri12__sikaku</vt:lpstr>
      <vt:lpstr>wskakunin_kanri12_DOC</vt:lpstr>
      <vt:lpstr>wskakunin_kanri12_JIMU__sikaku</vt:lpstr>
      <vt:lpstr>wskakunin_kanri12_JIMU_NAME</vt:lpstr>
      <vt:lpstr>wskakunin_kanri12_JIMU_NO</vt:lpstr>
      <vt:lpstr>wskakunin_kanri12_JIMU_SIKAKU__label</vt:lpstr>
      <vt:lpstr>wskakunin_kanri12_JIMU_TOUROKU_KIKAN__label</vt:lpstr>
      <vt:lpstr>wskakunin_kanri12_KENTIKUSI_NO</vt:lpstr>
      <vt:lpstr>wskakunin_kanri12_NAME</vt:lpstr>
      <vt:lpstr>wskakunin_kanri12_SIKAKU__label</vt:lpstr>
      <vt:lpstr>wskakunin_kanri12_TEL</vt:lpstr>
      <vt:lpstr>wskakunin_kanri12_TOUROKU_KIKAN__label</vt:lpstr>
      <vt:lpstr>wskakunin_kanri12_ZIP</vt:lpstr>
      <vt:lpstr>wskakunin_kanri2__address</vt:lpstr>
      <vt:lpstr>wskakunin_kanri2__sikaku</vt:lpstr>
      <vt:lpstr>wskakunin_kanri2_DOC</vt:lpstr>
      <vt:lpstr>wskakunin_kanri2_JIMU__sikaku</vt:lpstr>
      <vt:lpstr>wskakunin_kanri2_JIMU_NAME</vt:lpstr>
      <vt:lpstr>wskakunin_kanri2_JIMU_NO</vt:lpstr>
      <vt:lpstr>wskakunin_kanri2_JIMU_SIKAKU__label</vt:lpstr>
      <vt:lpstr>wskakunin_kanri2_JIMU_TOUROKU_KIKAN__label</vt:lpstr>
      <vt:lpstr>wskakunin_kanri2_KENTIKUSI_NO</vt:lpstr>
      <vt:lpstr>wskakunin_kanri2_NAME</vt:lpstr>
      <vt:lpstr>wskakunin_kanri2_SIKAKU__label</vt:lpstr>
      <vt:lpstr>wskakunin_kanri2_TEL</vt:lpstr>
      <vt:lpstr>wskakunin_kanri2_TOUROKU_KIKAN__label</vt:lpstr>
      <vt:lpstr>wskakunin_kanri2_ZIP</vt:lpstr>
      <vt:lpstr>wskakunin_kanri3__address</vt:lpstr>
      <vt:lpstr>wskakunin_kanri3__sikaku</vt:lpstr>
      <vt:lpstr>wskakunin_kanri3_DOC</vt:lpstr>
      <vt:lpstr>wskakunin_kanri3_JIMU__sikaku</vt:lpstr>
      <vt:lpstr>wskakunin_kanri3_JIMU_NAME</vt:lpstr>
      <vt:lpstr>wskakunin_kanri3_JIMU_NO</vt:lpstr>
      <vt:lpstr>wskakunin_kanri3_JIMU_SIKAKU__label</vt:lpstr>
      <vt:lpstr>wskakunin_kanri3_JIMU_TOUROKU_KIKAN__label</vt:lpstr>
      <vt:lpstr>wskakunin_kanri3_KENTIKUSI_NO</vt:lpstr>
      <vt:lpstr>wskakunin_kanri3_NAME</vt:lpstr>
      <vt:lpstr>wskakunin_kanri3_SIKAKU__label</vt:lpstr>
      <vt:lpstr>wskakunin_kanri3_TEL</vt:lpstr>
      <vt:lpstr>wskakunin_kanri3_TOUROKU_KIKAN__label</vt:lpstr>
      <vt:lpstr>wskakunin_kanri3_ZIP</vt:lpstr>
      <vt:lpstr>wskakunin_kanri4__address</vt:lpstr>
      <vt:lpstr>wskakunin_kanri4__sikaku</vt:lpstr>
      <vt:lpstr>wskakunin_kanri4_DOC</vt:lpstr>
      <vt:lpstr>wskakunin_kanri4_JIMU__sikaku</vt:lpstr>
      <vt:lpstr>wskakunin_kanri4_JIMU_NAME</vt:lpstr>
      <vt:lpstr>wskakunin_kanri4_JIMU_NO</vt:lpstr>
      <vt:lpstr>wskakunin_kanri4_JIMU_SIKAKU__label</vt:lpstr>
      <vt:lpstr>wskakunin_kanri4_JIMU_TOUROKU_KIKAN__label</vt:lpstr>
      <vt:lpstr>wskakunin_kanri4_KENTIKUSI_NO</vt:lpstr>
      <vt:lpstr>wskakunin_kanri4_NAME</vt:lpstr>
      <vt:lpstr>wskakunin_kanri4_SIKAKU__label</vt:lpstr>
      <vt:lpstr>wskakunin_kanri4_TEL</vt:lpstr>
      <vt:lpstr>wskakunin_kanri4_TOUROKU_KIKAN__label</vt:lpstr>
      <vt:lpstr>wskakunin_kanri4_ZIP</vt:lpstr>
      <vt:lpstr>wskakunin_kanri5__address</vt:lpstr>
      <vt:lpstr>wskakunin_kanri5__sikaku</vt:lpstr>
      <vt:lpstr>wskakunin_kanri5_DOC</vt:lpstr>
      <vt:lpstr>wskakunin_kanri5_JIMU__sikaku</vt:lpstr>
      <vt:lpstr>wskakunin_kanri5_JIMU_NAME</vt:lpstr>
      <vt:lpstr>wskakunin_kanri5_JIMU_NO</vt:lpstr>
      <vt:lpstr>wskakunin_kanri5_JIMU_SIKAKU__label</vt:lpstr>
      <vt:lpstr>wskakunin_kanri5_JIMU_TOUROKU_KIKAN__label</vt:lpstr>
      <vt:lpstr>wskakunin_kanri5_KENTIKUSI_NO</vt:lpstr>
      <vt:lpstr>wskakunin_kanri5_NAME</vt:lpstr>
      <vt:lpstr>wskakunin_kanri5_SIKAKU__label</vt:lpstr>
      <vt:lpstr>wskakunin_kanri5_TEL</vt:lpstr>
      <vt:lpstr>wskakunin_kanri5_TOUROKU_KIKAN__label</vt:lpstr>
      <vt:lpstr>wskakunin_kanri5_ZIP</vt:lpstr>
      <vt:lpstr>wskakunin_kanri6__address</vt:lpstr>
      <vt:lpstr>wskakunin_kanri6__sikaku</vt:lpstr>
      <vt:lpstr>wskakunin_kanri6_DOC</vt:lpstr>
      <vt:lpstr>wskakunin_kanri6_JIMU__sikaku</vt:lpstr>
      <vt:lpstr>wskakunin_kanri6_JIMU_NAME</vt:lpstr>
      <vt:lpstr>wskakunin_kanri6_JIMU_NO</vt:lpstr>
      <vt:lpstr>wskakunin_kanri6_JIMU_SIKAKU__label</vt:lpstr>
      <vt:lpstr>wskakunin_kanri6_JIMU_TOUROKU_KIKAN__label</vt:lpstr>
      <vt:lpstr>wskakunin_kanri6_KENTIKUSI_NO</vt:lpstr>
      <vt:lpstr>wskakunin_kanri6_NAME</vt:lpstr>
      <vt:lpstr>wskakunin_kanri6_SIKAKU__label</vt:lpstr>
      <vt:lpstr>wskakunin_kanri6_TEL</vt:lpstr>
      <vt:lpstr>wskakunin_kanri6_TOUROKU_KIKAN__label</vt:lpstr>
      <vt:lpstr>wskakunin_kanri6_ZIP</vt:lpstr>
      <vt:lpstr>wskakunin_kanri7__address</vt:lpstr>
      <vt:lpstr>wskakunin_kanri7__sikaku</vt:lpstr>
      <vt:lpstr>wskakunin_kanri7_DOC</vt:lpstr>
      <vt:lpstr>wskakunin_kanri7_JIMU__sikaku</vt:lpstr>
      <vt:lpstr>wskakunin_kanri7_JIMU_NAME</vt:lpstr>
      <vt:lpstr>wskakunin_kanri7_JIMU_NO</vt:lpstr>
      <vt:lpstr>wskakunin_kanri7_JIMU_SIKAKU__label</vt:lpstr>
      <vt:lpstr>wskakunin_kanri7_JIMU_TOUROKU_KIKAN__label</vt:lpstr>
      <vt:lpstr>wskakunin_kanri7_KENTIKUSI_NO</vt:lpstr>
      <vt:lpstr>wskakunin_kanri7_NAME</vt:lpstr>
      <vt:lpstr>wskakunin_kanri7_SIKAKU__label</vt:lpstr>
      <vt:lpstr>wskakunin_kanri7_TEL</vt:lpstr>
      <vt:lpstr>wskakunin_kanri7_TOUROKU_KIKAN__label</vt:lpstr>
      <vt:lpstr>wskakunin_kanri7_ZIP</vt:lpstr>
      <vt:lpstr>wskakunin_kanri8__address</vt:lpstr>
      <vt:lpstr>wskakunin_kanri8__sikaku</vt:lpstr>
      <vt:lpstr>wskakunin_kanri8_DOC</vt:lpstr>
      <vt:lpstr>wskakunin_kanri8_JIMU__sikaku</vt:lpstr>
      <vt:lpstr>wskakunin_kanri8_JIMU_NAME</vt:lpstr>
      <vt:lpstr>wskakunin_kanri8_JIMU_NO</vt:lpstr>
      <vt:lpstr>wskakunin_kanri8_JIMU_SIKAKU__label</vt:lpstr>
      <vt:lpstr>wskakunin_kanri8_JIMU_TOUROKU_KIKAN__label</vt:lpstr>
      <vt:lpstr>wskakunin_kanri8_KENTIKUSI_NO</vt:lpstr>
      <vt:lpstr>wskakunin_kanri8_NAME</vt:lpstr>
      <vt:lpstr>wskakunin_kanri8_SIKAKU__label</vt:lpstr>
      <vt:lpstr>wskakunin_kanri8_TEL</vt:lpstr>
      <vt:lpstr>wskakunin_kanri8_TOUROKU_KIKAN__label</vt:lpstr>
      <vt:lpstr>wskakunin_kanri8_ZIP</vt:lpstr>
      <vt:lpstr>wskakunin_kanri9__address</vt:lpstr>
      <vt:lpstr>wskakunin_kanri9__sikaku</vt:lpstr>
      <vt:lpstr>wskakunin_kanri9_DOC</vt:lpstr>
      <vt:lpstr>wskakunin_kanri9_JIMU__sikaku</vt:lpstr>
      <vt:lpstr>wskakunin_kanri9_JIMU_NAME</vt:lpstr>
      <vt:lpstr>wskakunin_kanri9_JIMU_NO</vt:lpstr>
      <vt:lpstr>wskakunin_kanri9_JIMU_SIKAKU__label</vt:lpstr>
      <vt:lpstr>wskakunin_kanri9_JIMU_TOUROKU_KIKAN__label</vt:lpstr>
      <vt:lpstr>wskakunin_kanri9_KENTIKUSI_NO</vt:lpstr>
      <vt:lpstr>wskakunin_kanri9_NAME</vt:lpstr>
      <vt:lpstr>wskakunin_kanri9_SIKAKU__label</vt:lpstr>
      <vt:lpstr>wskakunin_kanri9_TEL</vt:lpstr>
      <vt:lpstr>wskakunin_kanri9_TOUROKU_KIKAN__label</vt:lpstr>
      <vt:lpstr>wskakunin_kanri9_ZIP</vt:lpstr>
      <vt:lpstr>wskakunin_keibi_henkou01_HENKOU_GAIYOU</vt:lpstr>
      <vt:lpstr>wskakunin_keibi_henkou01_HENKOU_SYURUI</vt:lpstr>
      <vt:lpstr>wskakunin_KENPEI_RITU</vt:lpstr>
      <vt:lpstr>wskakunin_KENPEI_RITU_A</vt:lpstr>
      <vt:lpstr>wskakunin_KENPEI_RITU_B</vt:lpstr>
      <vt:lpstr>wskakunin_KENPEI_RITU_C</vt:lpstr>
      <vt:lpstr>wskakunin_KENPEI_RITU_D</vt:lpstr>
      <vt:lpstr>wskakunin_KENSA_YUKA_MENSEKI</vt:lpstr>
      <vt:lpstr>wskakunin_KENTIKU_MENSEKI_IGAI</vt:lpstr>
      <vt:lpstr>wskakunin_KENTIKU_MENSEKI_SHINSEI</vt:lpstr>
      <vt:lpstr>wskakunin_KENTIKU_MENSEKI_TOTAL</vt:lpstr>
      <vt:lpstr>wskakunin_KENTIKU_NINSYO_NO</vt:lpstr>
      <vt:lpstr>wskakunin_KIKAN_NAME</vt:lpstr>
      <vt:lpstr>wskakunin_KOUJI_DAI_MOYOUGAE</vt:lpstr>
      <vt:lpstr>wskakunin_KOUJI_DAI_SYUUZEN</vt:lpstr>
      <vt:lpstr>wskakunin_KOUJI_ITEN</vt:lpstr>
      <vt:lpstr>wskakunin_KOUJI_KAITIKU</vt:lpstr>
      <vt:lpstr>wskakunin_KOUJI_KANRYOU_DATE</vt:lpstr>
      <vt:lpstr>wskakunin_KOUJI_KANRYOU_YOTEI_DATE</vt:lpstr>
      <vt:lpstr>wskakunin_KOUJI_SINTIKU</vt:lpstr>
      <vt:lpstr>wskakunin_KOUJI_TYAKUSYU_DATE</vt:lpstr>
      <vt:lpstr>wskakunin_KOUJI_TYAKUSYU_YOTEI_DATE</vt:lpstr>
      <vt:lpstr>wskakunin_KOUJI_YOUTOHENKOU</vt:lpstr>
      <vt:lpstr>wskakunin_KOUJI_ZOUTIKU</vt:lpstr>
      <vt:lpstr>wskakunin_koutei_ikou01_KOUTEI_DATE</vt:lpstr>
      <vt:lpstr>wskakunin_koutei_ikou01_KOUTEI_KAISUU</vt:lpstr>
      <vt:lpstr>wskakunin_koutei_ikou01_KOUTEI_TEXT</vt:lpstr>
      <vt:lpstr>wskakunin_koutei_ikou02_KOUTEI_DATE</vt:lpstr>
      <vt:lpstr>wskakunin_koutei_ikou02_KOUTEI_KAISUU</vt:lpstr>
      <vt:lpstr>wskakunin_koutei_ikou02_KOUTEI_TEXT</vt:lpstr>
      <vt:lpstr>wskakunin_koutei_izen01_INTER_ISSUE_DATE</vt:lpstr>
      <vt:lpstr>wskakunin_koutei_izen01_INTER_ISSUE_NAME</vt:lpstr>
      <vt:lpstr>wskakunin_koutei_izen01_INTER_ISSUE_NO</vt:lpstr>
      <vt:lpstr>wskakunin_koutei_izen01_KOUTEI_KAISUU</vt:lpstr>
      <vt:lpstr>wskakunin_koutei_izen01_KOUTEI_TEXT</vt:lpstr>
      <vt:lpstr>wskakunin_koutei_izen02_INTER_ISSUE_DATE</vt:lpstr>
      <vt:lpstr>wskakunin_koutei_izen02_INTER_ISSUE_NAME</vt:lpstr>
      <vt:lpstr>wskakunin_koutei_izen02_INTER_ISSUE_NO</vt:lpstr>
      <vt:lpstr>wskakunin_koutei_izen02_KOUTEI_KAISUU</vt:lpstr>
      <vt:lpstr>wskakunin_koutei_izen02_KOUTEI_TEXT</vt:lpstr>
      <vt:lpstr>wskakunin_koutei_izen03_INTER_ISSUE_DATE</vt:lpstr>
      <vt:lpstr>wskakunin_koutei_izen03_INTER_ISSUE_NAME</vt:lpstr>
      <vt:lpstr>wskakunin_koutei_izen03_INTER_ISSUE_NO</vt:lpstr>
      <vt:lpstr>wskakunin_koutei_izen03_KOUTEI_KAISUU</vt:lpstr>
      <vt:lpstr>wskakunin_koutei_izen03_KOUTEI_TEXT</vt:lpstr>
      <vt:lpstr>wskakunin_koutei_izen04_INTER_ISSUE_DATE</vt:lpstr>
      <vt:lpstr>wskakunin_koutei_izen04_INTER_ISSUE_NAME</vt:lpstr>
      <vt:lpstr>wskakunin_koutei_izen04_INTER_ISSUE_NO</vt:lpstr>
      <vt:lpstr>wskakunin_koutei_izen04_KOUTEI_KAISUU</vt:lpstr>
      <vt:lpstr>wskakunin_koutei_izen04_KOUTEI_TEXT</vt:lpstr>
      <vt:lpstr>wskakunin_koutei01_INTER_ISSUE_DATE</vt:lpstr>
      <vt:lpstr>wskakunin_koutei01_INTER_ISSUE_NAME</vt:lpstr>
      <vt:lpstr>wskakunin_koutei01_INTER_ISSUE_NO</vt:lpstr>
      <vt:lpstr>wskakunin_koutei01_KOUTEI_DATE</vt:lpstr>
      <vt:lpstr>wskakunin_koutei01_KOUTEI_KAISUU</vt:lpstr>
      <vt:lpstr>wskakunin_koutei01_KOUTEI_TEXT</vt:lpstr>
      <vt:lpstr>wskakunin_koutei02_INTER_ISSUE_DATE</vt:lpstr>
      <vt:lpstr>wskakunin_koutei02_INTER_ISSUE_NAME</vt:lpstr>
      <vt:lpstr>wskakunin_koutei02_INTER_ISSUE_NO</vt:lpstr>
      <vt:lpstr>wskakunin_koutei02_KOUTEI_DATE</vt:lpstr>
      <vt:lpstr>wskakunin_koutei02_KOUTEI_KAISUU</vt:lpstr>
      <vt:lpstr>wskakunin_koutei02_KOUTEI_TEXT</vt:lpstr>
      <vt:lpstr>wskakunin_koutei03_KOUTEI_DATE</vt:lpstr>
      <vt:lpstr>wskakunin_koutei03_KOUTEI_KAISUU</vt:lpstr>
      <vt:lpstr>wskakunin_koutei03_KOUTEI_TEXT</vt:lpstr>
      <vt:lpstr>wskakunin_koutei04_KOUTEI_DATE</vt:lpstr>
      <vt:lpstr>wskakunin_koutei04_KOUTEI_KAISUU</vt:lpstr>
      <vt:lpstr>wskakunin_koutei04_KOUTEI_TEXT</vt:lpstr>
      <vt:lpstr>wskakunin_KOUZOU1</vt:lpstr>
      <vt:lpstr>wskakunin_KOUZOU2</vt:lpstr>
      <vt:lpstr>wskakunin_KUIKI_HISETTEI</vt:lpstr>
      <vt:lpstr>wskakunin_KUIKI_JYUN_TOSHI</vt:lpstr>
      <vt:lpstr>wskakunin_KUIKI_KUIKIGAI</vt:lpstr>
      <vt:lpstr>wskakunin_KUIKI_SIGAIKA</vt:lpstr>
      <vt:lpstr>wskakunin_KUIKI_TOSI</vt:lpstr>
      <vt:lpstr>wskakunin_KUIKI_TYOSEI</vt:lpstr>
      <vt:lpstr>wskakunin_kyoka01_</vt:lpstr>
      <vt:lpstr>wskakunin_kyoka01_BIKOU</vt:lpstr>
      <vt:lpstr>wskakunin_kyoka01_HOUREI</vt:lpstr>
      <vt:lpstr>wskakunin_kyoka01_JOUKOU</vt:lpstr>
      <vt:lpstr>wskakunin_kyoka01_KYOKA_DATE</vt:lpstr>
      <vt:lpstr>wskakunin_kyoka01_KYOKA_NO</vt:lpstr>
      <vt:lpstr>wskakunin_kyoka02_BIKOU</vt:lpstr>
      <vt:lpstr>wskakunin_kyoka02_HOUREI</vt:lpstr>
      <vt:lpstr>wskakunin_kyoka02_JOUKOU</vt:lpstr>
      <vt:lpstr>wskakunin_kyoka02_KYOKA_DATE</vt:lpstr>
      <vt:lpstr>wskakunin_kyoka02_KYOKA_NO</vt:lpstr>
      <vt:lpstr>wskakunin_kyoka03_BIKOU</vt:lpstr>
      <vt:lpstr>wskakunin_kyoka03_HOUREI</vt:lpstr>
      <vt:lpstr>wskakunin_kyoka03_JOUKOU</vt:lpstr>
      <vt:lpstr>wskakunin_kyoka03_KYOKA_DATE</vt:lpstr>
      <vt:lpstr>wskakunin_kyoka03_KYOKA_NO</vt:lpstr>
      <vt:lpstr>wskakunin_LAST_ISSUE_DATE</vt:lpstr>
      <vt:lpstr>wskakunin_LAST_ISSUE_NAME</vt:lpstr>
      <vt:lpstr>wskakunin_LAST_ISSUE_NO</vt:lpstr>
      <vt:lpstr>wskakunin_LIMIT_KENPEI_RITU</vt:lpstr>
      <vt:lpstr>wskakunin_LIMIT_YOUSEKI_RITU</vt:lpstr>
      <vt:lpstr>wskakunin_NOBE_MENSEKI</vt:lpstr>
      <vt:lpstr>wskakunin_NOBE_MENSEKI_BITIKUSOUKO_IGAI</vt:lpstr>
      <vt:lpstr>wskakunin_NOBE_MENSEKI_BITIKUSOUKO_SHINSEI</vt:lpstr>
      <vt:lpstr>wskakunin_NOBE_MENSEKI_BITIKUSOUKO_TOTAL</vt:lpstr>
      <vt:lpstr>wskakunin_NOBE_MENSEKI_BUILD_IGAI</vt:lpstr>
      <vt:lpstr>wskakunin_NOBE_MENSEKI_BUILD_SHINSEI</vt:lpstr>
      <vt:lpstr>wskakunin_NOBE_MENSEKI_BUILD_TOTAL</vt:lpstr>
      <vt:lpstr>wskakunin_NOBE_MENSEKI_CHOSUISOU_IGAI</vt:lpstr>
      <vt:lpstr>wskakunin_NOBE_MENSEKI_CHOSUISOU_SHINSEI</vt:lpstr>
      <vt:lpstr>wskakunin_NOBE_MENSEKI_CHOSUISOU_TOTAL</vt:lpstr>
      <vt:lpstr>wskakunin_NOBE_MENSEKI_JIKAHATUDEN_IGAI</vt:lpstr>
      <vt:lpstr>wskakunin_NOBE_MENSEKI_JIKAHATUDEN_SHINSEI</vt:lpstr>
      <vt:lpstr>wskakunin_NOBE_MENSEKI_JIKAHATUDEN_TOTAL</vt:lpstr>
      <vt:lpstr>wskakunin_NOBE_MENSEKI_JYUTAKU_IGAI</vt:lpstr>
      <vt:lpstr>wskakunin_NOBE_MENSEKI_JYUTAKU_SHINSEI</vt:lpstr>
      <vt:lpstr>wskakunin_NOBE_MENSEKI_JYUTAKU_TOTAL</vt:lpstr>
      <vt:lpstr>wskakunin_NOBE_MENSEKI_KYOYOU_IGAI</vt:lpstr>
      <vt:lpstr>wskakunin_NOBE_MENSEKI_KYOYOU_SHINSEI</vt:lpstr>
      <vt:lpstr>wskakunin_NOBE_MENSEKI_KYOYOU_TOTAL</vt:lpstr>
      <vt:lpstr>wskakunin_NOBE_MENSEKI_ROUJIN_IGAI</vt:lpstr>
      <vt:lpstr>wskakunin_NOBE_MENSEKI_ROUJIN_SHINSEI</vt:lpstr>
      <vt:lpstr>wskakunin_NOBE_MENSEKI_ROUJIN_TOTAL</vt:lpstr>
      <vt:lpstr>wskakunin_NOBE_MENSEKI_SYAKO_IGAI</vt:lpstr>
      <vt:lpstr>wskakunin_NOBE_MENSEKI_SYAKO_SHINSEI</vt:lpstr>
      <vt:lpstr>wskakunin_NOBE_MENSEKI_SYAKO_TOTAL</vt:lpstr>
      <vt:lpstr>wskakunin_NOBE_MENSEKI_SYOUKOURO_IGAI</vt:lpstr>
      <vt:lpstr>wskakunin_NOBE_MENSEKI_SYOUKOURO_SHINSEI</vt:lpstr>
      <vt:lpstr>wskakunin_NOBE_MENSEKI_SYOUKOURO_TOTAL</vt:lpstr>
      <vt:lpstr>wskakunin_NOBE_MENSEKI_TAKUHAI_IGAI</vt:lpstr>
      <vt:lpstr>wskakunin_NOBE_MENSEKI_TAKUHAI_SHINSEI</vt:lpstr>
      <vt:lpstr>wskakunin_NOBE_MENSEKI_TAKUHAI_TOTAL</vt:lpstr>
      <vt:lpstr>wskakunin_NOBE_MENSEKI_TIKAI_IGAI</vt:lpstr>
      <vt:lpstr>wskakunin_NOBE_MENSEKI_TIKAI_SHINSEI</vt:lpstr>
      <vt:lpstr>wskakunin_NOBE_MENSEKI_TIKAI_TOTAL</vt:lpstr>
      <vt:lpstr>wskakunin_NOBE_MENSEKI_TIKUDENTI_IGAI</vt:lpstr>
      <vt:lpstr>wskakunin_NOBE_MENSEKI_TIKUDENTI_SHINSEI</vt:lpstr>
      <vt:lpstr>wskakunin_NOBE_MENSEKI_TIKUDENTI_TOTAL</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wskakunin_owner2__address</vt:lpstr>
      <vt:lpstr>wskakunin_owner2_JIMU_NAME</vt:lpstr>
      <vt:lpstr>wskakunin_owner2_JIMU_NAME_KANA</vt:lpstr>
      <vt:lpstr>wskakunin_owner2_NAME</vt:lpstr>
      <vt:lpstr>wskakunin_owner2_NAME_KANA</vt:lpstr>
      <vt:lpstr>wskakunin_owner2_POST</vt:lpstr>
      <vt:lpstr>wskakunin_owner2_POST_KANA</vt:lpstr>
      <vt:lpstr>wskakunin_owner2_TEL</vt:lpstr>
      <vt:lpstr>wskakunin_owner2_ZIP</vt:lpstr>
      <vt:lpstr>wskakunin_owner3__address</vt:lpstr>
      <vt:lpstr>wskakunin_owner3_JIMU_NAME</vt:lpstr>
      <vt:lpstr>wskakunin_owner3_JIMU_NAME_KANA</vt:lpstr>
      <vt:lpstr>wskakunin_owner3_NAME</vt:lpstr>
      <vt:lpstr>wskakunin_owner3_NAME_KANA</vt:lpstr>
      <vt:lpstr>wskakunin_owner3_POST</vt:lpstr>
      <vt:lpstr>wskakunin_owner3_POST_KANA</vt:lpstr>
      <vt:lpstr>wskakunin_owner3_TEL</vt:lpstr>
      <vt:lpstr>wskakunin_owner3_ZIP</vt:lpstr>
      <vt:lpstr>wskakunin_owner4__address</vt:lpstr>
      <vt:lpstr>wskakunin_owner4_JIMU_NAME</vt:lpstr>
      <vt:lpstr>wskakunin_owner4_JIMU_NAME_KANA</vt:lpstr>
      <vt:lpstr>wskakunin_owner4_NAME</vt:lpstr>
      <vt:lpstr>wskakunin_owner4_NAME_KANA</vt:lpstr>
      <vt:lpstr>wskakunin_owner4_POST</vt:lpstr>
      <vt:lpstr>wskakunin_owner4_POST_KANA</vt:lpstr>
      <vt:lpstr>wskakunin_owner4_TEL</vt:lpstr>
      <vt:lpstr>wskakunin_owner4_ZIP</vt:lpstr>
      <vt:lpstr>wskakunin_owner5__address</vt:lpstr>
      <vt:lpstr>wskakunin_owner5_JIMU_NAME</vt:lpstr>
      <vt:lpstr>wskakunin_owner5_JIMU_NAME_KANA</vt:lpstr>
      <vt:lpstr>wskakunin_owner5_NAME</vt:lpstr>
      <vt:lpstr>wskakunin_owner5_NAME_KANA</vt:lpstr>
      <vt:lpstr>wskakunin_owner5_POST</vt:lpstr>
      <vt:lpstr>wskakunin_owner5_POST_KANA</vt:lpstr>
      <vt:lpstr>wskakunin_owner5_TEL</vt:lpstr>
      <vt:lpstr>wskakunin_owner5_ZIP</vt:lpstr>
      <vt:lpstr>wskakunin_owner6__address</vt:lpstr>
      <vt:lpstr>wskakunin_owner6_JIMU_NAME</vt:lpstr>
      <vt:lpstr>wskakunin_owner6_JIMU_NAME_KANA</vt:lpstr>
      <vt:lpstr>wskakunin_owner6_NAME</vt:lpstr>
      <vt:lpstr>wskakunin_owner6_NAME_KANA</vt:lpstr>
      <vt:lpstr>wskakunin_owner6_POST</vt:lpstr>
      <vt:lpstr>wskakunin_owner6_POST_KANA</vt:lpstr>
      <vt:lpstr>wskakunin_owner6_TEL</vt:lpstr>
      <vt:lpstr>wskakunin_owner6_ZIP</vt:lpstr>
      <vt:lpstr>wskakunin_owner7__address</vt:lpstr>
      <vt:lpstr>wskakunin_owner7_JIMU_NAME</vt:lpstr>
      <vt:lpstr>wskakunin_owner7_JIMU_NAME_KANA</vt:lpstr>
      <vt:lpstr>wskakunin_owner7_NAME</vt:lpstr>
      <vt:lpstr>wskakunin_owner7_NAME_KANA</vt:lpstr>
      <vt:lpstr>wskakunin_owner7_POST</vt:lpstr>
      <vt:lpstr>wskakunin_owner7_POST_KANA</vt:lpstr>
      <vt:lpstr>wskakunin_owner7_TEL</vt:lpstr>
      <vt:lpstr>wskakunin_owner7_ZIP</vt:lpstr>
      <vt:lpstr>wskakunin_owner8__address</vt:lpstr>
      <vt:lpstr>wskakunin_owner8_JIMU_NAME</vt:lpstr>
      <vt:lpstr>wskakunin_owner8_JIMU_NAME_KANA</vt:lpstr>
      <vt:lpstr>wskakunin_owner8_NAME</vt:lpstr>
      <vt:lpstr>wskakunin_owner8_NAME_KANA</vt:lpstr>
      <vt:lpstr>wskakunin_owner8_POST</vt:lpstr>
      <vt:lpstr>wskakunin_owner8_POST_KANA</vt:lpstr>
      <vt:lpstr>wskakunin_owner8_TEL</vt:lpstr>
      <vt:lpstr>wskakunin_owner8_ZIP</vt:lpstr>
      <vt:lpstr>wskakunin_owner9__address</vt:lpstr>
      <vt:lpstr>wskakunin_owner9_JIMU_NAME</vt:lpstr>
      <vt:lpstr>wskakunin_owner9_JIMU_NAME_KANA</vt:lpstr>
      <vt:lpstr>wskakunin_owner9_NAME</vt:lpstr>
      <vt:lpstr>wskakunin_owner9_NAME_KANA</vt:lpstr>
      <vt:lpstr>wskakunin_owner9_POST</vt:lpstr>
      <vt:lpstr>wskakunin_owner9_POST_KANA</vt:lpstr>
      <vt:lpstr>wskakunin_owner9_TEL</vt:lpstr>
      <vt:lpstr>wskakunin_owner9_ZIP</vt:lpstr>
      <vt:lpstr>wskakunin_P1_HENKOU_GAIYOU</vt:lpstr>
      <vt:lpstr>wskakunin_P2_BIKOU</vt:lpstr>
      <vt:lpstr>wskakunin_P3_BIKOU</vt:lpstr>
      <vt:lpstr>wskakunin_P3_SONOTA</vt:lpstr>
      <vt:lpstr>wskakunin_p4_1__kouji</vt:lpstr>
      <vt:lpstr>wskakunin_p4_1_KAISU_TIKAI</vt:lpstr>
      <vt:lpstr>wskakunin_p4_1_KAISU_TIKAI_NOZOKU</vt:lpstr>
      <vt:lpstr>wskakunin_p4_1_KAISU_YUKA_MENSEKI_SHINSEI</vt:lpstr>
      <vt:lpstr>wskakunin_p4_1_KOUZOU1</vt:lpstr>
      <vt:lpstr>wskakunin_p4_1_KOUZOU2</vt:lpstr>
      <vt:lpstr>wskakunin_p4_1_p5_1_KAI</vt:lpstr>
      <vt:lpstr>wskakunin_p4_1_p5_1_P4_MENSEKI_SHINSEI</vt:lpstr>
      <vt:lpstr>wskakunin_p4_1_p5_2_KAI</vt:lpstr>
      <vt:lpstr>wskakunin_p4_1_p5_2_P4_MENSEKI_SHINSEI</vt:lpstr>
      <vt:lpstr>wskakunin_p4_1_p5_3_KAI</vt:lpstr>
      <vt:lpstr>wskakunin_p4_1_p5_3_P4_MENSEKI_SHINSEI</vt:lpstr>
      <vt:lpstr>wskakunin_p4_1_TAKASA_KEN_MAX</vt:lpstr>
      <vt:lpstr>wskakunin_p4_1_TAKASA_MAX</vt:lpstr>
      <vt:lpstr>wskakunin_p4_1_TOKUREI_KAKUNIN_FLAG</vt:lpstr>
      <vt:lpstr>wskakunin_p4_1_youto1_YOUTO</vt:lpstr>
      <vt:lpstr>wskakunin_p4_1_youto1_YOUTO_CODE</vt:lpstr>
      <vt:lpstr>wskakunin_PAGE1_ALTERATION_NOTE</vt:lpstr>
      <vt:lpstr>wskakunin_sekkei1__address</vt:lpstr>
      <vt:lpstr>wskakunin_sekkei1__sikaku</vt:lpstr>
      <vt:lpstr>wskakunin_sekkei1_DOC</vt:lpstr>
      <vt:lpstr>wskakunin_sekkei1_JIMU__sikaku</vt:lpstr>
      <vt:lpstr>wskakunin_sekkei1_JIMU_NAME</vt:lpstr>
      <vt:lpstr>wskakunin_sekkei1_JIMU_NO</vt:lpstr>
      <vt:lpstr>wskakunin_sekkei1_JIMU_SIKAKU__label</vt:lpstr>
      <vt:lpstr>wskakunin_sekkei1_JIMU_TOUROKU_KIKAN__label</vt:lpstr>
      <vt:lpstr>wskakunin_sekkei1_KENTIKUSI_NO</vt:lpstr>
      <vt:lpstr>wskakunin_sekkei1_NAME</vt:lpstr>
      <vt:lpstr>wskakunin_sekkei1_SIKAKU__label</vt:lpstr>
      <vt:lpstr>wskakunin_sekkei1_TEL</vt:lpstr>
      <vt:lpstr>wskakunin_sekkei1_TOUROKU_KIKAN__label</vt:lpstr>
      <vt:lpstr>wskakunin_sekkei1_ZIP</vt:lpstr>
      <vt:lpstr>wskakunin_sekkei10__address</vt:lpstr>
      <vt:lpstr>wskakunin_sekkei10__sikaku</vt:lpstr>
      <vt:lpstr>wskakunin_sekkei10_DOC</vt:lpstr>
      <vt:lpstr>wskakunin_sekkei10_JIMU__sikaku</vt:lpstr>
      <vt:lpstr>wskakunin_sekkei10_JIMU_NAME</vt:lpstr>
      <vt:lpstr>wskakunin_sekkei10_JIMU_NO</vt:lpstr>
      <vt:lpstr>wskakunin_sekkei10_JIMU_SIKAKU__label</vt:lpstr>
      <vt:lpstr>wskakunin_sekkei10_JIMU_TOUROKU_KIKAN__label</vt:lpstr>
      <vt:lpstr>wskakunin_sekkei10_KENTIKUSI_NO</vt:lpstr>
      <vt:lpstr>wskakunin_sekkei10_NAME</vt:lpstr>
      <vt:lpstr>wskakunin_sekkei10_SIKAKU__label</vt:lpstr>
      <vt:lpstr>wskakunin_sekkei10_TEL</vt:lpstr>
      <vt:lpstr>wskakunin_sekkei10_TOUROKU_KIKAN__label</vt:lpstr>
      <vt:lpstr>wskakunin_sekkei10_ZIP</vt:lpstr>
      <vt:lpstr>wskakunin_sekkei11__address</vt:lpstr>
      <vt:lpstr>wskakunin_sekkei11__sikaku</vt:lpstr>
      <vt:lpstr>wskakunin_sekkei11_DOC</vt:lpstr>
      <vt:lpstr>wskakunin_sekkei11_JIMU__sikaku</vt:lpstr>
      <vt:lpstr>wskakunin_sekkei11_JIMU_NAME</vt:lpstr>
      <vt:lpstr>wskakunin_sekkei11_JIMU_NO</vt:lpstr>
      <vt:lpstr>wskakunin_sekkei11_JIMU_SIKAKU__label</vt:lpstr>
      <vt:lpstr>wskakunin_sekkei11_JIMU_TOUROKU_KIKAN__label</vt:lpstr>
      <vt:lpstr>wskakunin_sekkei11_KENTIKUSI_NO</vt:lpstr>
      <vt:lpstr>wskakunin_sekkei11_NAME</vt:lpstr>
      <vt:lpstr>wskakunin_sekkei11_SIKAKU__label</vt:lpstr>
      <vt:lpstr>wskakunin_sekkei11_TEL</vt:lpstr>
      <vt:lpstr>wskakunin_sekkei11_TOUROKU_KIKAN__label</vt:lpstr>
      <vt:lpstr>wskakunin_sekkei11_ZIP</vt:lpstr>
      <vt:lpstr>wskakunin_sekkei12__address</vt:lpstr>
      <vt:lpstr>wskakunin_sekkei12__sikaku</vt:lpstr>
      <vt:lpstr>wskakunin_sekkei12_DOC</vt:lpstr>
      <vt:lpstr>wskakunin_sekkei12_JIMU__sikaku</vt:lpstr>
      <vt:lpstr>wskakunin_sekkei12_JIMU_NAME</vt:lpstr>
      <vt:lpstr>wskakunin_sekkei12_JIMU_NO</vt:lpstr>
      <vt:lpstr>wskakunin_sekkei12_JIMU_SIKAKU__label</vt:lpstr>
      <vt:lpstr>wskakunin_sekkei12_JIMU_TOUROKU_KIKAN__label</vt:lpstr>
      <vt:lpstr>wskakunin_sekkei12_KENTIKUSI_NO</vt:lpstr>
      <vt:lpstr>wskakunin_sekkei12_NAME</vt:lpstr>
      <vt:lpstr>wskakunin_sekkei12_SIKAKU__label</vt:lpstr>
      <vt:lpstr>wskakunin_sekkei12_TEL</vt:lpstr>
      <vt:lpstr>wskakunin_sekkei12_TOUROKU_KIKAN__label</vt:lpstr>
      <vt:lpstr>wskakunin_sekkei12_ZIP</vt:lpstr>
      <vt:lpstr>wskakunin_sekkei2__address</vt:lpstr>
      <vt:lpstr>wskakunin_sekkei2__sikaku</vt:lpstr>
      <vt:lpstr>wskakunin_sekkei2_DOC</vt:lpstr>
      <vt:lpstr>wskakunin_sekkei2_JIMU__sikaku</vt:lpstr>
      <vt:lpstr>wskakunin_sekkei2_JIMU_NAME</vt:lpstr>
      <vt:lpstr>wskakunin_sekkei2_JIMU_NO</vt:lpstr>
      <vt:lpstr>wskakunin_sekkei2_JIMU_SIKAKU__label</vt:lpstr>
      <vt:lpstr>wskakunin_sekkei2_JIMU_TOUROKU_KIKAN__label</vt:lpstr>
      <vt:lpstr>wskakunin_sekkei2_KENTIKUSI_NO</vt:lpstr>
      <vt:lpstr>wskakunin_sekkei2_NAME</vt:lpstr>
      <vt:lpstr>wskakunin_sekkei2_SIKAKU__label</vt:lpstr>
      <vt:lpstr>wskakunin_sekkei2_TEL</vt:lpstr>
      <vt:lpstr>wskakunin_sekkei2_TOUROKU_KIKAN__label</vt:lpstr>
      <vt:lpstr>wskakunin_sekkei2_ZIP</vt:lpstr>
      <vt:lpstr>wskakunin_sekkei3__address</vt:lpstr>
      <vt:lpstr>wskakunin_sekkei3__sikaku</vt:lpstr>
      <vt:lpstr>wskakunin_sekkei3_DOC</vt:lpstr>
      <vt:lpstr>wskakunin_sekkei3_JIMU__sikaku</vt:lpstr>
      <vt:lpstr>wskakunin_sekkei3_JIMU_NAME</vt:lpstr>
      <vt:lpstr>wskakunin_sekkei3_JIMU_NO</vt:lpstr>
      <vt:lpstr>wskakunin_sekkei3_JIMU_SIKAKU__label</vt:lpstr>
      <vt:lpstr>wskakunin_sekkei3_JIMU_TOUROKU_KIKAN__label</vt:lpstr>
      <vt:lpstr>wskakunin_sekkei3_KENTIKUSI_NO</vt:lpstr>
      <vt:lpstr>wskakunin_sekkei3_NAME</vt:lpstr>
      <vt:lpstr>wskakunin_sekkei3_SIKAKU__label</vt:lpstr>
      <vt:lpstr>wskakunin_sekkei3_TEL</vt:lpstr>
      <vt:lpstr>wskakunin_sekkei3_TOUROKU_KIKAN__label</vt:lpstr>
      <vt:lpstr>wskakunin_sekkei3_ZIP</vt:lpstr>
      <vt:lpstr>wskakunin_sekkei4__address</vt:lpstr>
      <vt:lpstr>wskakunin_sekkei4__sikaku</vt:lpstr>
      <vt:lpstr>wskakunin_sekkei4_DOC</vt:lpstr>
      <vt:lpstr>wskakunin_sekkei4_JIMU__sikaku</vt:lpstr>
      <vt:lpstr>wskakunin_sekkei4_JIMU_NAME</vt:lpstr>
      <vt:lpstr>wskakunin_sekkei4_JIMU_NO</vt:lpstr>
      <vt:lpstr>wskakunin_sekkei4_JIMU_SIKAKU__label</vt:lpstr>
      <vt:lpstr>wskakunin_sekkei4_JIMU_TOUROKU_KIKAN__label</vt:lpstr>
      <vt:lpstr>wskakunin_sekkei4_KENTIKUSI_NO</vt:lpstr>
      <vt:lpstr>wskakunin_sekkei4_NAME</vt:lpstr>
      <vt:lpstr>wskakunin_sekkei4_SIKAKU__label</vt:lpstr>
      <vt:lpstr>wskakunin_sekkei4_TEL</vt:lpstr>
      <vt:lpstr>wskakunin_sekkei4_TOUROKU_KIKAN__label</vt:lpstr>
      <vt:lpstr>wskakunin_sekkei4_ZIP</vt:lpstr>
      <vt:lpstr>wskakunin_sekkei5__address</vt:lpstr>
      <vt:lpstr>wskakunin_sekkei5__sikaku</vt:lpstr>
      <vt:lpstr>wskakunin_sekkei5_DOC</vt:lpstr>
      <vt:lpstr>wskakunin_sekkei5_JIMU__sikaku</vt:lpstr>
      <vt:lpstr>wskakunin_sekkei5_JIMU_NAME</vt:lpstr>
      <vt:lpstr>wskakunin_sekkei5_JIMU_NO</vt:lpstr>
      <vt:lpstr>wskakunin_sekkei5_JIMU_SIKAKU__label</vt:lpstr>
      <vt:lpstr>wskakunin_sekkei5_JIMU_TOUROKU_KIKAN__label</vt:lpstr>
      <vt:lpstr>wskakunin_sekkei5_KENTIKUSI_NO</vt:lpstr>
      <vt:lpstr>wskakunin_sekkei5_NAME</vt:lpstr>
      <vt:lpstr>wskakunin_sekkei5_SIKAKU__label</vt:lpstr>
      <vt:lpstr>wskakunin_sekkei5_TEL</vt:lpstr>
      <vt:lpstr>wskakunin_sekkei5_TOUROKU_KIKAN__label</vt:lpstr>
      <vt:lpstr>wskakunin_sekkei5_ZIP</vt:lpstr>
      <vt:lpstr>wskakunin_sekkei6__address</vt:lpstr>
      <vt:lpstr>wskakunin_sekkei6__sikaku</vt:lpstr>
      <vt:lpstr>wskakunin_sekkei6_DOC</vt:lpstr>
      <vt:lpstr>wskakunin_sekkei6_JIMU__sikaku</vt:lpstr>
      <vt:lpstr>wskakunin_sekkei6_JIMU_NAME</vt:lpstr>
      <vt:lpstr>wskakunin_sekkei6_JIMU_NO</vt:lpstr>
      <vt:lpstr>wskakunin_sekkei6_JIMU_SIKAKU__label</vt:lpstr>
      <vt:lpstr>wskakunin_sekkei6_JIMU_TOUROKU_KIKAN__label</vt:lpstr>
      <vt:lpstr>wskakunin_sekkei6_KENTIKUSI_NO</vt:lpstr>
      <vt:lpstr>wskakunin_sekkei6_NAME</vt:lpstr>
      <vt:lpstr>wskakunin_sekkei6_SIKAKU__label</vt:lpstr>
      <vt:lpstr>wskakunin_sekkei6_TEL</vt:lpstr>
      <vt:lpstr>wskakunin_sekkei6_TOUROKU_KIKAN__label</vt:lpstr>
      <vt:lpstr>wskakunin_sekkei6_ZIP</vt:lpstr>
      <vt:lpstr>wskakunin_sekkei7__address</vt:lpstr>
      <vt:lpstr>wskakunin_sekkei7__sikaku</vt:lpstr>
      <vt:lpstr>wskakunin_sekkei7_DOC</vt:lpstr>
      <vt:lpstr>wskakunin_sekkei7_JIMU__sikaku</vt:lpstr>
      <vt:lpstr>wskakunin_sekkei7_JIMU_NAME</vt:lpstr>
      <vt:lpstr>wskakunin_sekkei7_JIMU_NO</vt:lpstr>
      <vt:lpstr>wskakunin_sekkei7_JIMU_SIKAKU__label</vt:lpstr>
      <vt:lpstr>wskakunin_sekkei7_JIMU_TOUROKU_KIKAN__label</vt:lpstr>
      <vt:lpstr>wskakunin_sekkei7_KENTIKUSI_NO</vt:lpstr>
      <vt:lpstr>wskakunin_sekkei7_NAME</vt:lpstr>
      <vt:lpstr>wskakunin_sekkei7_SIKAKU__label</vt:lpstr>
      <vt:lpstr>wskakunin_sekkei7_TEL</vt:lpstr>
      <vt:lpstr>wskakunin_sekkei7_TOUROKU_KIKAN__label</vt:lpstr>
      <vt:lpstr>wskakunin_sekkei7_ZIP</vt:lpstr>
      <vt:lpstr>wskakunin_sekkei8__address</vt:lpstr>
      <vt:lpstr>wskakunin_sekkei8__sikaku</vt:lpstr>
      <vt:lpstr>wskakunin_sekkei8_DOC</vt:lpstr>
      <vt:lpstr>wskakunin_sekkei8_JIMU__sikaku</vt:lpstr>
      <vt:lpstr>wskakunin_sekkei8_JIMU_NAME</vt:lpstr>
      <vt:lpstr>wskakunin_sekkei8_JIMU_NO</vt:lpstr>
      <vt:lpstr>wskakunin_sekkei8_JIMU_SIKAKU__label</vt:lpstr>
      <vt:lpstr>wskakunin_sekkei8_JIMU_TOUROKU_KIKAN__label</vt:lpstr>
      <vt:lpstr>wskakunin_sekkei8_KENTIKUSI_NO</vt:lpstr>
      <vt:lpstr>wskakunin_sekkei8_NAME</vt:lpstr>
      <vt:lpstr>wskakunin_sekkei8_SIKAKU__label</vt:lpstr>
      <vt:lpstr>wskakunin_sekkei8_TEL</vt:lpstr>
      <vt:lpstr>wskakunin_sekkei8_TOUROKU_KIKAN__label</vt:lpstr>
      <vt:lpstr>wskakunin_sekkei8_ZIP</vt:lpstr>
      <vt:lpstr>wskakunin_sekkei9__address</vt:lpstr>
      <vt:lpstr>wskakunin_sekkei9__sikaku</vt:lpstr>
      <vt:lpstr>wskakunin_sekkei9_DOC</vt:lpstr>
      <vt:lpstr>wskakunin_sekkei9_JIMU__sikaku</vt:lpstr>
      <vt:lpstr>wskakunin_sekkei9_JIMU_NAME</vt:lpstr>
      <vt:lpstr>wskakunin_sekkei9_JIMU_NO</vt:lpstr>
      <vt:lpstr>wskakunin_sekkei9_JIMU_SIKAKU__label</vt:lpstr>
      <vt:lpstr>wskakunin_sekkei9_JIMU_TOUROKU_KIKAN__label</vt:lpstr>
      <vt:lpstr>wskakunin_sekkei9_KENTIKUSI_NO</vt:lpstr>
      <vt:lpstr>wskakunin_sekkei9_NAME</vt:lpstr>
      <vt:lpstr>wskakunin_sekkei9_SIKAKU__label</vt:lpstr>
      <vt:lpstr>wskakunin_sekkei9_TEL</vt:lpstr>
      <vt:lpstr>wskakunin_sekkei9_TOUROKU_KIKAN__label</vt:lpstr>
      <vt:lpstr>wskakunin_sekkei9_ZIP</vt:lpstr>
      <vt:lpstr>wskakunin_sekou1__address</vt:lpstr>
      <vt:lpstr>wskakunin_sekou1_JIMU_NAME</vt:lpstr>
      <vt:lpstr>wskakunin_sekou1_NAME</vt:lpstr>
      <vt:lpstr>wskakunin_sekou1_SEKOU__sikaku</vt:lpstr>
      <vt:lpstr>wskakunin_sekou1_SEKOU_NO</vt:lpstr>
      <vt:lpstr>wskakunin_sekou1_SEKOU_SIKAKU__label</vt:lpstr>
      <vt:lpstr>wskakunin_sekou1_TEL</vt:lpstr>
      <vt:lpstr>wskakunin_sekou1_ZIP</vt:lpstr>
      <vt:lpstr>wskakunin_sekou2__address</vt:lpstr>
      <vt:lpstr>wskakunin_sekou2_JIMU_NAME</vt:lpstr>
      <vt:lpstr>wskakunin_sekou2_NAME</vt:lpstr>
      <vt:lpstr>wskakunin_sekou2_SEKOU__sikaku</vt:lpstr>
      <vt:lpstr>wskakunin_sekou2_SEKOU_NO</vt:lpstr>
      <vt:lpstr>wskakunin_sekou2_SEKOU_SIKAKU__label</vt:lpstr>
      <vt:lpstr>wskakunin_sekou2_TEL</vt:lpstr>
      <vt:lpstr>wskakunin_sekou2_ZIP</vt:lpstr>
      <vt:lpstr>wskakunin_sekou3__address</vt:lpstr>
      <vt:lpstr>wskakunin_sekou3_JIMU_NAME</vt:lpstr>
      <vt:lpstr>wskakunin_sekou3_NAME</vt:lpstr>
      <vt:lpstr>wskakunin_sekou3_SEKOU__sikaku</vt:lpstr>
      <vt:lpstr>wskakunin_sekou3_SEKOU_NO</vt:lpstr>
      <vt:lpstr>wskakunin_sekou3_SEKOU_SIKAKU__label</vt:lpstr>
      <vt:lpstr>wskakunin_sekou3_TEL</vt:lpstr>
      <vt:lpstr>wskakunin_sekou3_ZIP</vt:lpstr>
      <vt:lpstr>wskakunin_sekou4__address</vt:lpstr>
      <vt:lpstr>wskakunin_sekou4_JIMU_NAME</vt:lpstr>
      <vt:lpstr>wskakunin_sekou4_NAME</vt:lpstr>
      <vt:lpstr>wskakunin_sekou4_SEKOU__sikaku</vt:lpstr>
      <vt:lpstr>wskakunin_sekou4_SEKOU_NO</vt:lpstr>
      <vt:lpstr>wskakunin_sekou4_SEKOU_SIKAKU__label</vt:lpstr>
      <vt:lpstr>wskakunin_sekou4_TEL</vt:lpstr>
      <vt:lpstr>wskakunin_sekou4_ZIP</vt:lpstr>
      <vt:lpstr>wskakunin_sekou5__address</vt:lpstr>
      <vt:lpstr>wskakunin_sekou5_JIMU_NAME</vt:lpstr>
      <vt:lpstr>wskakunin_sekou5_NAME</vt:lpstr>
      <vt:lpstr>wskakunin_sekou5_SEKOU__sikaku</vt:lpstr>
      <vt:lpstr>wskakunin_sekou5_SEKOU_NO</vt:lpstr>
      <vt:lpstr>wskakunin_sekou5_SEKOU_SIKAKU__label</vt:lpstr>
      <vt:lpstr>wskakunin_sekou5_TEL</vt:lpstr>
      <vt:lpstr>wskakunin_sekou5_ZIP</vt:lpstr>
      <vt:lpstr>wskakunin_sekou6__address</vt:lpstr>
      <vt:lpstr>wskakunin_sekou6_JIMU_NAME</vt:lpstr>
      <vt:lpstr>wskakunin_sekou6_NAME</vt:lpstr>
      <vt:lpstr>wskakunin_sekou6_SEKOU__sikaku</vt:lpstr>
      <vt:lpstr>wskakunin_sekou6_SEKOU_NO</vt:lpstr>
      <vt:lpstr>wskakunin_sekou6_SEKOU_SIKAKU__label</vt:lpstr>
      <vt:lpstr>wskakunin_sekou6_TEL</vt:lpstr>
      <vt:lpstr>wskakunin_sekou6_ZIP</vt:lpstr>
      <vt:lpstr>wskakunin_SHIKITI_MENSEKI_1_TOTAL</vt:lpstr>
      <vt:lpstr>wskakunin_SHIKITI_MENSEKI_1A</vt:lpstr>
      <vt:lpstr>wskakunin_SHIKITI_MENSEKI_1B</vt:lpstr>
      <vt:lpstr>wskakunin_SHIKITI_MENSEKI_1C</vt:lpstr>
      <vt:lpstr>wskakunin_SHIKITI_MENSEKI_1D</vt:lpstr>
      <vt:lpstr>wskakunin_SHIKITI_MENSEKI_2_TOTAL</vt:lpstr>
      <vt:lpstr>wskakunin_SHIKITI_MENSEKI_2A</vt:lpstr>
      <vt:lpstr>wskakunin_SHIKITI_MENSEKI_2B</vt:lpstr>
      <vt:lpstr>wskakunin_SHIKITI_MENSEKI_2C</vt:lpstr>
      <vt:lpstr>wskakunin_SHIKITI_MENSEKI_2D</vt:lpstr>
      <vt:lpstr>wskakunin_SHIKITI_MENSEKI_BIKOU</vt:lpstr>
      <vt:lpstr>wskakunin_SHINSEI_DATE</vt:lpstr>
      <vt:lpstr>wskakunin_SONOTA_KUIKI</vt:lpstr>
      <vt:lpstr>wskakunin_TAKASA_MAX_SHINSEI</vt:lpstr>
      <vt:lpstr>wskakunin_TAKASA_MAX_SONOTA</vt:lpstr>
      <vt:lpstr>wskakunin_tekihan01_TEKIHAN_KIKAN_ADDRESS</vt:lpstr>
      <vt:lpstr>wskakunin_tekihan01_TEKIHAN_KIKAN_KEN__ken</vt:lpstr>
      <vt:lpstr>wskakunin_tekihan01_TEKIHAN_KIKAN_NAME</vt:lpstr>
      <vt:lpstr>wskakunin_tekihan01_TEKIHAN_STATE</vt:lpstr>
      <vt:lpstr>wskakunin_tekihan02_TEKIHAN_KIKAN_ADDRESS</vt:lpstr>
      <vt:lpstr>wskakunin_tekihan02_TEKIHAN_KIKAN_KEN__ken</vt:lpstr>
      <vt:lpstr>wskakunin_tekihan02_TEKIHAN_KIKAN_NAME</vt:lpstr>
      <vt:lpstr>wskakunin_TOKUREI_1</vt:lpstr>
      <vt:lpstr>wskakunin_TOKUREI_2</vt:lpstr>
      <vt:lpstr>wskakunin_TOKUREI_3</vt:lpstr>
      <vt:lpstr>wskakunin_TOKUREI_4</vt:lpstr>
      <vt:lpstr>wskakunin_TOKUREI_TAKASA</vt:lpstr>
      <vt:lpstr>wskakunin_TOKUREI_TAKASA_DOURO</vt:lpstr>
      <vt:lpstr>wskakunin_TOKUREI_TAKASA_KITA</vt:lpstr>
      <vt:lpstr>wskakunin_TOKUREI_TAKASA_RINTI</vt:lpstr>
      <vt:lpstr>wskakunin_TOKUTEI_KOUJI_KANRYOU_DATE</vt:lpstr>
      <vt:lpstr>wskakunin_TOKUTEI_KOUTEI</vt:lpstr>
      <vt:lpstr>wskakunin_YOUSEKI_RITU</vt:lpstr>
      <vt:lpstr>wskakunin_YOUSEKI_RITU_A</vt:lpstr>
      <vt:lpstr>wskakunin_YOUSEKI_RITU_B</vt:lpstr>
      <vt:lpstr>wskakunin_YOUSEKI_RITU_C</vt:lpstr>
      <vt:lpstr>wskakunin_YOUSEKI_RITU_D</vt:lpstr>
      <vt:lpstr>wskakunin_YOUTO</vt:lpstr>
      <vt:lpstr>wskakunin_YOUTO_CODE</vt:lpstr>
      <vt:lpstr>wskakunin_YOUTO_TIIKI_A</vt:lpstr>
      <vt:lpstr>wskakunin_YOUTO_TIIKI_B</vt:lpstr>
      <vt:lpstr>wskakunin_YOUTO_TIIKI_C</vt:lpstr>
      <vt:lpstr>wskakunin_YOUTO_TIIKI_D</vt:lpstr>
      <vt:lpstr>wskakuninKOUJI_SETUBI</vt:lpstr>
      <vt:lpstr>しろくろ</vt:lpstr>
      <vt:lpstr>チェック</vt:lpstr>
      <vt:lpstr>はんとく</vt:lpstr>
      <vt:lpstr>一級</vt:lpstr>
      <vt:lpstr>外壁後退</vt:lpstr>
      <vt:lpstr>確変</vt:lpstr>
      <vt:lpstr>居住専用番号</vt:lpstr>
      <vt:lpstr>許可</vt:lpstr>
      <vt:lpstr>許可区分</vt:lpstr>
      <vt:lpstr>近隣商業地域</vt:lpstr>
      <vt:lpstr>近隣商業地域建ぺい率</vt:lpstr>
      <vt:lpstr>月</vt:lpstr>
      <vt:lpstr>建ぺい率</vt:lpstr>
      <vt:lpstr>建昇工</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工事届用主要用途区分</vt:lpstr>
      <vt:lpstr>構造</vt:lpstr>
      <vt:lpstr>号</vt:lpstr>
      <vt:lpstr>産業番号</vt:lpstr>
      <vt:lpstr>指定なし</vt:lpstr>
      <vt:lpstr>指定なし建ぺい率</vt:lpstr>
      <vt:lpstr>施工者</vt:lpstr>
      <vt:lpstr>資格</vt:lpstr>
      <vt:lpstr>準工業地域</vt:lpstr>
      <vt:lpstr>準工業地域建ぺい率</vt:lpstr>
      <vt:lpstr>準住居地域</vt:lpstr>
      <vt:lpstr>準住居地域建ぺい率</vt:lpstr>
      <vt:lpstr>商業地域</vt:lpstr>
      <vt:lpstr>商業地域建ぺい率</vt:lpstr>
      <vt:lpstr>図書</vt:lpstr>
      <vt:lpstr>数字</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都道府県</vt:lpstr>
      <vt:lpstr>特定工程</vt:lpstr>
      <vt:lpstr>二級</vt:lpstr>
      <vt:lpstr>年度</vt:lpstr>
      <vt:lpstr>便所</vt:lpstr>
      <vt:lpstr>面積</vt:lpstr>
      <vt:lpstr>木造</vt:lpstr>
      <vt:lpstr>容積率</vt:lpstr>
      <vt:lpstr>用途区分</vt:lpstr>
      <vt:lpstr>用途地域</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D17</cp:lastModifiedBy>
  <cp:lastPrinted>2024-04-03T08:01:27Z</cp:lastPrinted>
  <dcterms:created xsi:type="dcterms:W3CDTF">2016-04-05T10:41:15Z</dcterms:created>
  <dcterms:modified xsi:type="dcterms:W3CDTF">2024-05-24T00:04:28Z</dcterms:modified>
</cp:coreProperties>
</file>